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Google Drive\Tišnov\Tišnov Ambulance PRÁDELNA\2024-06-02 Rozpočet\"/>
    </mc:Choice>
  </mc:AlternateContent>
  <xr:revisionPtr revIDLastSave="0" documentId="13_ncr:1_{E8EE2CFC-A216-4451-8124-40A7114C8BAF}" xr6:coauthVersionLast="47" xr6:coauthVersionMax="47" xr10:uidLastSave="{00000000-0000-0000-0000-000000000000}"/>
  <bookViews>
    <workbookView xWindow="-110" yWindow="-110" windowWidth="38620" windowHeight="21220" xr2:uid="{00000000-000D-0000-FFFF-FFFF00000000}"/>
  </bookViews>
  <sheets>
    <sheet name="Krycí list" sheetId="14" r:id="rId1"/>
    <sheet name="Rekapitulace IN" sheetId="15" r:id="rId2"/>
    <sheet name="KL D.1.1. ASŘ" sheetId="1" r:id="rId3"/>
    <sheet name="VzorPolozky" sheetId="10" state="hidden" r:id="rId4"/>
    <sheet name="D.1.1. ASŘ" sheetId="12" r:id="rId5"/>
    <sheet name="KL D.1.4.1 ZTI" sheetId="19" r:id="rId6"/>
    <sheet name="D.1.4.1 ZTI" sheetId="20" r:id="rId7"/>
    <sheet name="KL D.1.4.2 ELE+SLP" sheetId="16" r:id="rId8"/>
    <sheet name="D.1.4.2 ELE+SLP Parametry" sheetId="18" r:id="rId9"/>
    <sheet name="D.1.4.2 ELE+SLP" sheetId="17" r:id="rId10"/>
    <sheet name="VRN" sheetId="13" r:id="rId11"/>
  </sheets>
  <definedNames>
    <definedName name="ADF">#REF!</definedName>
    <definedName name="CelkemDPHVypocet" localSheetId="2">'KL D.1.1. ASŘ'!$H$30</definedName>
    <definedName name="CelkemDPHVypocet" localSheetId="0">'Krycí list'!$H$33</definedName>
    <definedName name="CenaCelkem" localSheetId="0">'Krycí list'!$G$22</definedName>
    <definedName name="CenaCelkem">'KL D.1.1. ASŘ'!$G$26</definedName>
    <definedName name="CenaCelkemBezDPH" localSheetId="0">'Krycí list'!$G$21</definedName>
    <definedName name="CenaCelkemBezDPH">'KL D.1.1. ASŘ'!$G$25</definedName>
    <definedName name="CenaCelkemVypocet" localSheetId="2">'KL D.1.1. ASŘ'!$I$30</definedName>
    <definedName name="CenaCelkemVypocet" localSheetId="0">'Krycí list'!$I$33</definedName>
    <definedName name="cisloobjektu" localSheetId="0">'Krycí list'!#REF!</definedName>
    <definedName name="cisloobjektu">'KL D.1.1. ASŘ'!$C$3</definedName>
    <definedName name="CisloRozpoctu">#REF!</definedName>
    <definedName name="CisloStavby" localSheetId="2">'KL D.1.1. ASŘ'!$C$2</definedName>
    <definedName name="CisloStavby" localSheetId="0">'Krycí list'!$C$2</definedName>
    <definedName name="cislostavby">#REF!</definedName>
    <definedName name="CisloStavebnihoRozpoctu" localSheetId="0">'Krycí list'!$D$3</definedName>
    <definedName name="CisloStavebnihoRozpoctu">'KL D.1.1. ASŘ'!$D$4</definedName>
    <definedName name="DA">#REF!</definedName>
    <definedName name="dadresa" localSheetId="0">'Krycí list'!$D$8:$G$8</definedName>
    <definedName name="dadresa">'KL D.1.1. ASŘ'!#REF!</definedName>
    <definedName name="Datum" localSheetId="0">#REF!</definedName>
    <definedName name="Datum">#REF!</definedName>
    <definedName name="DIČ" localSheetId="2">'KL D.1.1. ASŘ'!#REF!</definedName>
    <definedName name="DIČ" localSheetId="0">'Krycí list'!$I$8</definedName>
    <definedName name="dmisto" localSheetId="0">'Krycí list'!$D$9:$G$9</definedName>
    <definedName name="dmisto">'KL D.1.1. ASŘ'!#REF!</definedName>
    <definedName name="Dodavka">#REF!</definedName>
    <definedName name="Dodavka0" localSheetId="0">#REF!</definedName>
    <definedName name="Dodavka0">#REF!</definedName>
    <definedName name="DPHSni" localSheetId="0">'Krycí list'!$G$17</definedName>
    <definedName name="DPHSni" localSheetId="1">#REF!</definedName>
    <definedName name="DPHSni" localSheetId="10">#REF!</definedName>
    <definedName name="DPHSni">'KL D.1.1. ASŘ'!$G$21</definedName>
    <definedName name="DPHZakl" localSheetId="0">'Krycí list'!$G$19</definedName>
    <definedName name="DPHZakl" localSheetId="1">#REF!</definedName>
    <definedName name="DPHZakl" localSheetId="10">#REF!</definedName>
    <definedName name="DPHZakl">'KL D.1.1. ASŘ'!$G$23</definedName>
    <definedName name="dpsc" localSheetId="2">'KL D.1.1. ASŘ'!#REF!</definedName>
    <definedName name="dpsc" localSheetId="0">'Krycí list'!$C$9</definedName>
    <definedName name="ERAW">#REF!</definedName>
    <definedName name="FDA">#REF!</definedName>
    <definedName name="footer" localSheetId="0">#REF!</definedName>
    <definedName name="footer">#REF!</definedName>
    <definedName name="footer2" localSheetId="0">#REF!</definedName>
    <definedName name="footer2">#REF!</definedName>
    <definedName name="FVA">#REF!</definedName>
    <definedName name="GA">#REF!</definedName>
    <definedName name="GAE">#REF!</definedName>
    <definedName name="head1" localSheetId="0">#REF!</definedName>
    <definedName name="head1">#REF!</definedName>
    <definedName name="Header" localSheetId="0">#REF!</definedName>
    <definedName name="Header">#REF!</definedName>
    <definedName name="Header2" localSheetId="0">#REF!</definedName>
    <definedName name="Header2">#REF!</definedName>
    <definedName name="Hlava1" localSheetId="0">#REF!</definedName>
    <definedName name="Hlava1">#REF!</definedName>
    <definedName name="Hlava2" localSheetId="0">#REF!</definedName>
    <definedName name="Hlava2">#REF!</definedName>
    <definedName name="Hlava3" localSheetId="0">#REF!</definedName>
    <definedName name="Hlava3">#REF!</definedName>
    <definedName name="Hlava4" localSheetId="0">#REF!</definedName>
    <definedName name="Hlava4">#REF!</definedName>
    <definedName name="HS">#REF!</definedName>
    <definedName name="HSV">#REF!</definedName>
    <definedName name="HSV0" localSheetId="0">#REF!</definedName>
    <definedName name="HSV0">#REF!</definedName>
    <definedName name="HTRA">#REF!</definedName>
    <definedName name="HZS">#REF!</definedName>
    <definedName name="HZS0" localSheetId="0">#REF!</definedName>
    <definedName name="HZS0">#REF!</definedName>
    <definedName name="IČO" localSheetId="2">'KL D.1.1. ASŘ'!#REF!</definedName>
    <definedName name="IČO" localSheetId="0">'Krycí list'!$I$7</definedName>
    <definedName name="JKSO" localSheetId="0">#REF!</definedName>
    <definedName name="JKSO">#REF!</definedName>
    <definedName name="mat">#REF!</definedName>
    <definedName name="Mena" localSheetId="0">'Krycí list'!$J$22</definedName>
    <definedName name="Mena" localSheetId="1">#REF!</definedName>
    <definedName name="Mena" localSheetId="10">#REF!</definedName>
    <definedName name="Mena">'KL D.1.1. ASŘ'!$J$26</definedName>
    <definedName name="MI">#REF!</definedName>
    <definedName name="MistoStavby" localSheetId="0">'Krycí list'!$D$3</definedName>
    <definedName name="MistoStavby">'KL D.1.1. ASŘ'!$D$4</definedName>
    <definedName name="MJ" localSheetId="0">#REF!</definedName>
    <definedName name="MJ">#REF!</definedName>
    <definedName name="Mont">#REF!</definedName>
    <definedName name="Montaz0" localSheetId="0">#REF!</definedName>
    <definedName name="Montaz0">#REF!</definedName>
    <definedName name="nazevobjektu" localSheetId="0">'Krycí list'!#REF!</definedName>
    <definedName name="nazevobjektu">'KL D.1.1. ASŘ'!$D$3</definedName>
    <definedName name="NazevRozpoctu">#REF!</definedName>
    <definedName name="NazevStavby" localSheetId="2">'KL D.1.1. ASŘ'!$D$2</definedName>
    <definedName name="NazevStavby" localSheetId="0">'Krycí list'!$D$2</definedName>
    <definedName name="nazevstavby">#REF!</definedName>
    <definedName name="NazevStavebnihoRozpoctu" localSheetId="0">'Krycí list'!$E$3</definedName>
    <definedName name="NazevStavebnihoRozpoctu">'KL D.1.1. ASŘ'!$E$4</definedName>
    <definedName name="_xlnm.Print_Titles" localSheetId="1">'Rekapitulace IN'!$B:$H,'Rekapitulace IN'!$1:$3</definedName>
    <definedName name="oadresa" localSheetId="0">'Krycí list'!$D$5</definedName>
    <definedName name="oadresa">'KL D.1.1. ASŘ'!$D$6</definedName>
    <definedName name="Objednatel" localSheetId="2">'KL D.1.1. ASŘ'!$D$5</definedName>
    <definedName name="Objednatel" localSheetId="0">'Krycí list'!$D$4</definedName>
    <definedName name="Objednatel">#REF!</definedName>
    <definedName name="Objekt" localSheetId="2">'KL D.1.1. ASŘ'!$B$28</definedName>
    <definedName name="Objekt" localSheetId="0">'Krycí list'!$B$31</definedName>
    <definedName name="_xlnm.Print_Area" localSheetId="4">'D.1.1. ASŘ'!$A$1:$U$438</definedName>
    <definedName name="_xlnm.Print_Area" localSheetId="2">'KL D.1.1. ASŘ'!$A$1:$J$64</definedName>
    <definedName name="_xlnm.Print_Area" localSheetId="0">'Krycí list'!$A$1:$J$34</definedName>
    <definedName name="_xlnm.Print_Area" localSheetId="1">'Rekapitulace IN'!$B$1:$G$21</definedName>
    <definedName name="_xlnm.Print_Area" localSheetId="10">VRN!$A$1:$U$44</definedName>
    <definedName name="odic" localSheetId="2">'KL D.1.1. ASŘ'!$I$6</definedName>
    <definedName name="odic" localSheetId="0">'Krycí list'!$I$5</definedName>
    <definedName name="oico" localSheetId="2">'KL D.1.1. ASŘ'!$I$5</definedName>
    <definedName name="oico" localSheetId="0">'Krycí list'!$I$4</definedName>
    <definedName name="omisto" localSheetId="2">'KL D.1.1. ASŘ'!$D$7</definedName>
    <definedName name="omisto" localSheetId="0">'Krycí list'!$D$6</definedName>
    <definedName name="onazev" localSheetId="2">'KL D.1.1. ASŘ'!$D$6</definedName>
    <definedName name="onazev" localSheetId="0">'Krycí list'!$D$5</definedName>
    <definedName name="opsc" localSheetId="2">'KL D.1.1. ASŘ'!$C$7</definedName>
    <definedName name="opsc" localSheetId="0">'Krycí list'!$C$6</definedName>
    <definedName name="padresa" localSheetId="0">'Krycí list'!#REF!</definedName>
    <definedName name="padresa">'KL D.1.1. ASŘ'!$D$9</definedName>
    <definedName name="pdic" localSheetId="0">'Krycí list'!#REF!</definedName>
    <definedName name="pdic">'KL D.1.1. ASŘ'!$I$9</definedName>
    <definedName name="pico" localSheetId="0">'Krycí list'!#REF!</definedName>
    <definedName name="pico">'KL D.1.1. ASŘ'!$I$8</definedName>
    <definedName name="pmisto" localSheetId="0">'Krycí list'!#REF!</definedName>
    <definedName name="pmisto">'KL D.1.1. ASŘ'!$D$10</definedName>
    <definedName name="PocetMJ" localSheetId="0">#REF!</definedName>
    <definedName name="PocetMJ" localSheetId="1">#REF!</definedName>
    <definedName name="PocetMJ">#REF!</definedName>
    <definedName name="polbezcen1" localSheetId="0">#REF!</definedName>
    <definedName name="polbezcen1">#REF!</definedName>
    <definedName name="polcen2" localSheetId="0">#REF!</definedName>
    <definedName name="polcen2">#REF!</definedName>
    <definedName name="polcen3" localSheetId="0">#REF!</definedName>
    <definedName name="polcen3">#REF!</definedName>
    <definedName name="PoptavkaID" localSheetId="0">'Krycí list'!$A$1</definedName>
    <definedName name="PoptavkaID">'KL D.1.1. ASŘ'!$A$1</definedName>
    <definedName name="Poznamka" localSheetId="0">#REF!</definedName>
    <definedName name="Poznamka">#REF!</definedName>
    <definedName name="pPSC" localSheetId="0">'Krycí list'!#REF!</definedName>
    <definedName name="pPSC">'KL D.1.1. ASŘ'!$C$10</definedName>
    <definedName name="Projektant" localSheetId="0">'Krycí list'!#REF!</definedName>
    <definedName name="Projektant">'KL D.1.1. ASŘ'!$D$8</definedName>
    <definedName name="PSV">#REF!</definedName>
    <definedName name="PSV0" localSheetId="0">#REF!</definedName>
    <definedName name="PSV0">#REF!</definedName>
    <definedName name="SazbaDPH1" localSheetId="2">'KL D.1.1. ASŘ'!$E$20</definedName>
    <definedName name="SazbaDPH1" localSheetId="0">'Krycí list'!$E$16</definedName>
    <definedName name="SazbaDPH1">#REF!</definedName>
    <definedName name="SazbaDPH2" localSheetId="2">'KL D.1.1. ASŘ'!$E$22</definedName>
    <definedName name="SazbaDPH2" localSheetId="0">'Krycí list'!$E$18</definedName>
    <definedName name="SazbaDPH2">#REF!</definedName>
    <definedName name="SloupecCC" localSheetId="0">#REF!</definedName>
    <definedName name="SloupecCC" localSheetId="1">#REF!</definedName>
    <definedName name="SloupecCC">#REF!</definedName>
    <definedName name="SloupecCisloPol" localSheetId="0">#REF!</definedName>
    <definedName name="SloupecCisloPol" localSheetId="1">#REF!</definedName>
    <definedName name="SloupecCisloPol">#REF!</definedName>
    <definedName name="SloupecJC" localSheetId="0">#REF!</definedName>
    <definedName name="SloupecJC" localSheetId="1">#REF!</definedName>
    <definedName name="SloupecJC">#REF!</definedName>
    <definedName name="SloupecMJ" localSheetId="0">#REF!</definedName>
    <definedName name="SloupecMJ" localSheetId="1">#REF!</definedName>
    <definedName name="SloupecMJ">#REF!</definedName>
    <definedName name="SloupecMnozstvi" localSheetId="0">#REF!</definedName>
    <definedName name="SloupecMnozstvi" localSheetId="1">#REF!</definedName>
    <definedName name="SloupecMnozstvi">#REF!</definedName>
    <definedName name="SloupecNazPol" localSheetId="0">#REF!</definedName>
    <definedName name="SloupecNazPol" localSheetId="1">#REF!</definedName>
    <definedName name="SloupecNazPol">#REF!</definedName>
    <definedName name="SloupecPC" localSheetId="0">#REF!</definedName>
    <definedName name="SloupecPC" localSheetId="1">#REF!</definedName>
    <definedName name="SloupecPC">#REF!</definedName>
    <definedName name="Typ" localSheetId="0">#REF!</definedName>
    <definedName name="Typ">#REF!</definedName>
    <definedName name="UJSRT">#REF!</definedName>
    <definedName name="VRN" localSheetId="0">#REF!</definedName>
    <definedName name="VRN">#REF!</definedName>
    <definedName name="VRNKc" localSheetId="0">#REF!</definedName>
    <definedName name="VRNKc">#REF!</definedName>
    <definedName name="VRNnazev" localSheetId="0">#REF!</definedName>
    <definedName name="VRNnazev">#REF!</definedName>
    <definedName name="VRNproc" localSheetId="0">#REF!</definedName>
    <definedName name="VRNproc">#REF!</definedName>
    <definedName name="VRNzakl" localSheetId="0">#REF!</definedName>
    <definedName name="VRNzakl">#REF!</definedName>
    <definedName name="Vypracoval" localSheetId="0">'Krycí list'!$D$10</definedName>
    <definedName name="Vypracoval">'KL D.1.1. ASŘ'!$D$11</definedName>
    <definedName name="XJF">#REF!</definedName>
    <definedName name="Z_B7E7C763_C459_487D_8ABA_5CFDDFBD5A84_.wvu.Cols" localSheetId="2" hidden="1">'KL D.1.1. ASŘ'!$A:$A</definedName>
    <definedName name="Z_B7E7C763_C459_487D_8ABA_5CFDDFBD5A84_.wvu.Cols" localSheetId="0" hidden="1">'Krycí list'!$A:$A</definedName>
    <definedName name="Z_B7E7C763_C459_487D_8ABA_5CFDDFBD5A84_.wvu.PrintArea" localSheetId="2" hidden="1">'KL D.1.1. ASŘ'!$B$1:$J$26</definedName>
    <definedName name="Z_B7E7C763_C459_487D_8ABA_5CFDDFBD5A84_.wvu.PrintArea" localSheetId="0" hidden="1">'Krycí list'!$B$1:$J$29</definedName>
    <definedName name="Zakazka" localSheetId="0">#REF!</definedName>
    <definedName name="Zakazka">#REF!</definedName>
    <definedName name="ZakHead" localSheetId="0">#REF!</definedName>
    <definedName name="ZakHead">#REF!</definedName>
    <definedName name="Zaklad22" localSheetId="0">#REF!</definedName>
    <definedName name="Zaklad22">#REF!</definedName>
    <definedName name="Zaklad5" localSheetId="0">#REF!</definedName>
    <definedName name="Zaklad5">#REF!</definedName>
    <definedName name="ZakladDPHSni" localSheetId="0">'Krycí list'!$G$16</definedName>
    <definedName name="ZakladDPHSni" localSheetId="1">#REF!</definedName>
    <definedName name="ZakladDPHSni" localSheetId="10">#REF!</definedName>
    <definedName name="ZakladDPHSni">'KL D.1.1. ASŘ'!$G$20</definedName>
    <definedName name="ZakladDPHSniVypocet" localSheetId="2">'KL D.1.1. ASŘ'!$F$30</definedName>
    <definedName name="ZakladDPHSniVypocet" localSheetId="0">'Krycí list'!$F$33</definedName>
    <definedName name="ZakladDPHZakl" localSheetId="0">'Krycí list'!$G$18</definedName>
    <definedName name="ZakladDPHZakl" localSheetId="1">#REF!</definedName>
    <definedName name="ZakladDPHZakl" localSheetId="10">#REF!</definedName>
    <definedName name="ZakladDPHZakl">'KL D.1.1. ASŘ'!$G$22</definedName>
    <definedName name="ZakladDPHZaklVypocet" localSheetId="2">'KL D.1.1. ASŘ'!$G$30</definedName>
    <definedName name="ZakladDPHZaklVypocet" localSheetId="0">'Krycí list'!$G$33</definedName>
    <definedName name="ZaObjednatele">'KL D.1.1. ASŘ'!#REF!</definedName>
    <definedName name="Zaokrouhleni" localSheetId="0">'Krycí list'!$G$20</definedName>
    <definedName name="Zaokrouhleni" localSheetId="1">#REF!</definedName>
    <definedName name="Zaokrouhleni" localSheetId="10">#REF!</definedName>
    <definedName name="Zaokrouhleni">'KL D.1.1. ASŘ'!$G$24</definedName>
    <definedName name="ZaZhotovitele">'KL D.1.1. ASŘ'!#REF!</definedName>
    <definedName name="Zhotovitel" localSheetId="0">'Krycí list'!$D$7:$G$7</definedName>
    <definedName name="Zhotovitel">'KL D.1.1. ASŘ'!#REF!</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E241" i="17" l="1"/>
  <c r="G32" i="13" l="1"/>
  <c r="IS84" i="20"/>
  <c r="IR84" i="20"/>
  <c r="IS83" i="20"/>
  <c r="IR83" i="20"/>
  <c r="IS82" i="20"/>
  <c r="IR82" i="20"/>
  <c r="K82" i="20" s="1"/>
  <c r="IS81" i="20"/>
  <c r="IR81" i="20"/>
  <c r="K81" i="20" s="1"/>
  <c r="IS80" i="20"/>
  <c r="IR80" i="20"/>
  <c r="K80" i="20" s="1"/>
  <c r="IS78" i="20"/>
  <c r="IR78" i="20"/>
  <c r="K78" i="20" s="1"/>
  <c r="K77" i="20" s="1"/>
  <c r="IS76" i="20"/>
  <c r="IR76" i="20"/>
  <c r="K76" i="20" s="1"/>
  <c r="IS75" i="20"/>
  <c r="IR75" i="20"/>
  <c r="IS74" i="20"/>
  <c r="IR74" i="20"/>
  <c r="K74" i="20" s="1"/>
  <c r="IS73" i="20"/>
  <c r="IR73" i="20"/>
  <c r="IS72" i="20"/>
  <c r="IR72" i="20"/>
  <c r="K72" i="20" s="1"/>
  <c r="IS71" i="20"/>
  <c r="IR71" i="20"/>
  <c r="IS70" i="20"/>
  <c r="K70" i="20" s="1"/>
  <c r="IR70" i="20"/>
  <c r="IS69" i="20"/>
  <c r="IR69" i="20"/>
  <c r="IS68" i="20"/>
  <c r="K68" i="20" s="1"/>
  <c r="IR68" i="20"/>
  <c r="IS67" i="20"/>
  <c r="IR67" i="20"/>
  <c r="IS66" i="20"/>
  <c r="IR66" i="20"/>
  <c r="IS65" i="20"/>
  <c r="IR65" i="20"/>
  <c r="IS64" i="20"/>
  <c r="IR64" i="20"/>
  <c r="IS63" i="20"/>
  <c r="IR63" i="20"/>
  <c r="K63" i="20" s="1"/>
  <c r="IS62" i="20"/>
  <c r="IR62" i="20"/>
  <c r="IS61" i="20"/>
  <c r="IR61" i="20"/>
  <c r="K61" i="20" s="1"/>
  <c r="IS60" i="20"/>
  <c r="IR60" i="20"/>
  <c r="IS59" i="20"/>
  <c r="IR59" i="20"/>
  <c r="IS58" i="20"/>
  <c r="IR58" i="20"/>
  <c r="IS57" i="20"/>
  <c r="IR57" i="20"/>
  <c r="IS56" i="20"/>
  <c r="IR56" i="20"/>
  <c r="IS55" i="20"/>
  <c r="IR55" i="20"/>
  <c r="K55" i="20" s="1"/>
  <c r="IS54" i="20"/>
  <c r="IR54" i="20"/>
  <c r="K54" i="20"/>
  <c r="IS53" i="20"/>
  <c r="IR53" i="20"/>
  <c r="IS52" i="20"/>
  <c r="IR52" i="20"/>
  <c r="IS51" i="20"/>
  <c r="IR51" i="20"/>
  <c r="IS50" i="20"/>
  <c r="IR50" i="20"/>
  <c r="IS49" i="20"/>
  <c r="IR49" i="20"/>
  <c r="IS48" i="20"/>
  <c r="IR48" i="20"/>
  <c r="K48" i="20" s="1"/>
  <c r="IS46" i="20"/>
  <c r="IR46" i="20"/>
  <c r="K46" i="20"/>
  <c r="IS45" i="20"/>
  <c r="IR45" i="20"/>
  <c r="K45" i="20" s="1"/>
  <c r="IS44" i="20"/>
  <c r="IR44" i="20"/>
  <c r="IS43" i="20"/>
  <c r="IR43" i="20"/>
  <c r="IS42" i="20"/>
  <c r="IR42" i="20"/>
  <c r="IS41" i="20"/>
  <c r="IR41" i="20"/>
  <c r="IS40" i="20"/>
  <c r="IR40" i="20"/>
  <c r="IS39" i="20"/>
  <c r="IR39" i="20"/>
  <c r="K39" i="20" s="1"/>
  <c r="IS37" i="20"/>
  <c r="IR37" i="20"/>
  <c r="K37" i="20" s="1"/>
  <c r="IS36" i="20"/>
  <c r="IR36" i="20"/>
  <c r="IS35" i="20"/>
  <c r="IR35" i="20"/>
  <c r="IS34" i="20"/>
  <c r="K34" i="20" s="1"/>
  <c r="IR34" i="20"/>
  <c r="IS33" i="20"/>
  <c r="IR33" i="20"/>
  <c r="IS32" i="20"/>
  <c r="IR32" i="20"/>
  <c r="K32" i="20" s="1"/>
  <c r="IS31" i="20"/>
  <c r="IR31" i="20"/>
  <c r="IS30" i="20"/>
  <c r="IR30" i="20"/>
  <c r="K30" i="20" s="1"/>
  <c r="IS29" i="20"/>
  <c r="IR29" i="20"/>
  <c r="IS28" i="20"/>
  <c r="IR28" i="20"/>
  <c r="K28" i="20" s="1"/>
  <c r="IS27" i="20"/>
  <c r="IR27" i="20"/>
  <c r="K27" i="20" s="1"/>
  <c r="IS26" i="20"/>
  <c r="IR26" i="20"/>
  <c r="K26" i="20" s="1"/>
  <c r="IS25" i="20"/>
  <c r="IR25" i="20"/>
  <c r="K25" i="20"/>
  <c r="IS24" i="20"/>
  <c r="IR24" i="20"/>
  <c r="IS23" i="20"/>
  <c r="IR23" i="20"/>
  <c r="IS22" i="20"/>
  <c r="IR22" i="20"/>
  <c r="IS21" i="20"/>
  <c r="IR21" i="20"/>
  <c r="IS19" i="20"/>
  <c r="IR19" i="20"/>
  <c r="K19" i="20" s="1"/>
  <c r="IS18" i="20"/>
  <c r="K18" i="20" s="1"/>
  <c r="IR18" i="20"/>
  <c r="IS17" i="20"/>
  <c r="IR17" i="20"/>
  <c r="K17" i="20" s="1"/>
  <c r="IS16" i="20"/>
  <c r="IR16" i="20"/>
  <c r="IS15" i="20"/>
  <c r="IR15" i="20"/>
  <c r="IS14" i="20"/>
  <c r="IR14" i="20"/>
  <c r="K14" i="20" s="1"/>
  <c r="IS12" i="20"/>
  <c r="K12" i="20" s="1"/>
  <c r="K11" i="20" s="1"/>
  <c r="IR12" i="20"/>
  <c r="F28" i="19"/>
  <c r="I22" i="19"/>
  <c r="F22" i="19"/>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1" i="17"/>
  <c r="H270" i="17"/>
  <c r="G269" i="17"/>
  <c r="E269" i="17"/>
  <c r="H268" i="17"/>
  <c r="G267" i="17"/>
  <c r="E267" i="17"/>
  <c r="G266" i="17"/>
  <c r="E266" i="17"/>
  <c r="G261" i="17"/>
  <c r="E261" i="17"/>
  <c r="G260" i="17"/>
  <c r="E260" i="17"/>
  <c r="G259" i="17"/>
  <c r="E259" i="17"/>
  <c r="H257" i="17"/>
  <c r="G256" i="17"/>
  <c r="E256" i="17"/>
  <c r="H254" i="17"/>
  <c r="G253" i="17"/>
  <c r="E253" i="17"/>
  <c r="G252" i="17"/>
  <c r="E252" i="17"/>
  <c r="G251" i="17"/>
  <c r="E251" i="17"/>
  <c r="G250" i="17"/>
  <c r="E250" i="17"/>
  <c r="G249" i="17"/>
  <c r="E249" i="17"/>
  <c r="G248" i="17"/>
  <c r="E248" i="17"/>
  <c r="G247" i="17"/>
  <c r="E247" i="17"/>
  <c r="G246" i="17"/>
  <c r="E246" i="17"/>
  <c r="G245" i="17"/>
  <c r="E245" i="17"/>
  <c r="H243" i="17"/>
  <c r="G242" i="17"/>
  <c r="E242" i="17"/>
  <c r="G241" i="17"/>
  <c r="G240" i="17"/>
  <c r="E240" i="17"/>
  <c r="H238" i="17"/>
  <c r="G237" i="17"/>
  <c r="E237" i="17"/>
  <c r="G236" i="17"/>
  <c r="E236" i="17"/>
  <c r="G235" i="17"/>
  <c r="E235" i="17"/>
  <c r="G234" i="17"/>
  <c r="E234" i="17"/>
  <c r="H232" i="17"/>
  <c r="G231" i="17"/>
  <c r="E231" i="17"/>
  <c r="H229" i="17"/>
  <c r="G228" i="17"/>
  <c r="E228" i="17"/>
  <c r="H226" i="17"/>
  <c r="G225" i="17"/>
  <c r="E225" i="17"/>
  <c r="H223" i="17"/>
  <c r="G222" i="17"/>
  <c r="E222" i="17"/>
  <c r="H219" i="17"/>
  <c r="G218" i="17"/>
  <c r="E218" i="17"/>
  <c r="H216" i="17"/>
  <c r="G215" i="17"/>
  <c r="E215" i="17"/>
  <c r="G214" i="17"/>
  <c r="E214" i="17"/>
  <c r="H212" i="17"/>
  <c r="G211" i="17"/>
  <c r="E211" i="17"/>
  <c r="H208" i="17"/>
  <c r="G207" i="17"/>
  <c r="E207" i="17"/>
  <c r="G206" i="17"/>
  <c r="E206" i="17"/>
  <c r="H203" i="17"/>
  <c r="G202" i="17"/>
  <c r="E202" i="17"/>
  <c r="H199" i="17"/>
  <c r="G198" i="17"/>
  <c r="E198" i="17"/>
  <c r="G197" i="17"/>
  <c r="E197" i="17"/>
  <c r="H195" i="17"/>
  <c r="G194" i="17"/>
  <c r="E194" i="17"/>
  <c r="G193" i="17"/>
  <c r="E193" i="17"/>
  <c r="G192" i="17"/>
  <c r="E192" i="17"/>
  <c r="G191" i="17"/>
  <c r="E191" i="17"/>
  <c r="H189" i="17"/>
  <c r="G188" i="17"/>
  <c r="E188" i="17"/>
  <c r="G187" i="17"/>
  <c r="E187" i="17"/>
  <c r="G186" i="17"/>
  <c r="E186" i="17"/>
  <c r="G185" i="17"/>
  <c r="E185" i="17"/>
  <c r="H183" i="17"/>
  <c r="G182" i="17"/>
  <c r="E182" i="17"/>
  <c r="G181" i="17"/>
  <c r="E181" i="17"/>
  <c r="G180" i="17"/>
  <c r="E180" i="17"/>
  <c r="G179" i="17"/>
  <c r="E179" i="17"/>
  <c r="H177" i="17"/>
  <c r="G176" i="17"/>
  <c r="E176" i="17"/>
  <c r="H174" i="17"/>
  <c r="G173" i="17"/>
  <c r="E173" i="17"/>
  <c r="H171" i="17"/>
  <c r="G170" i="17"/>
  <c r="E170" i="17"/>
  <c r="G169" i="17"/>
  <c r="E169" i="17"/>
  <c r="H167" i="17"/>
  <c r="G166" i="17"/>
  <c r="E166" i="17"/>
  <c r="H164" i="17"/>
  <c r="G163" i="17"/>
  <c r="E163" i="17"/>
  <c r="G162" i="17"/>
  <c r="E162" i="17"/>
  <c r="G161" i="17"/>
  <c r="E161" i="17"/>
  <c r="G160" i="17"/>
  <c r="E160" i="17"/>
  <c r="G159" i="17"/>
  <c r="E159" i="17"/>
  <c r="H157" i="17"/>
  <c r="H155" i="17"/>
  <c r="G154" i="17"/>
  <c r="E154" i="17"/>
  <c r="H152" i="17"/>
  <c r="G151" i="17"/>
  <c r="E151" i="17"/>
  <c r="H149" i="17"/>
  <c r="G148" i="17"/>
  <c r="E148" i="17"/>
  <c r="H146" i="17"/>
  <c r="G145" i="17"/>
  <c r="E145" i="17"/>
  <c r="H143" i="17"/>
  <c r="G142" i="17"/>
  <c r="E142" i="17"/>
  <c r="H140" i="17"/>
  <c r="G139" i="17"/>
  <c r="E139" i="17"/>
  <c r="H137" i="17"/>
  <c r="G136" i="17"/>
  <c r="E136" i="17"/>
  <c r="H134" i="17"/>
  <c r="H133" i="17"/>
  <c r="G132" i="17"/>
  <c r="E132" i="17"/>
  <c r="H129" i="17"/>
  <c r="G128" i="17"/>
  <c r="E128" i="17"/>
  <c r="G127" i="17"/>
  <c r="E127" i="17"/>
  <c r="H125" i="17"/>
  <c r="G124" i="17"/>
  <c r="E124" i="17"/>
  <c r="H122" i="17"/>
  <c r="G121" i="17"/>
  <c r="E121" i="17"/>
  <c r="H119" i="17"/>
  <c r="G118" i="17"/>
  <c r="E118" i="17"/>
  <c r="G117" i="17"/>
  <c r="E117" i="17"/>
  <c r="H115" i="17"/>
  <c r="G114" i="17"/>
  <c r="E114" i="17"/>
  <c r="H112" i="17"/>
  <c r="G111" i="17"/>
  <c r="E111" i="17"/>
  <c r="G110" i="17"/>
  <c r="E110" i="17"/>
  <c r="G109" i="17"/>
  <c r="E109" i="17"/>
  <c r="G108" i="17"/>
  <c r="E108" i="17"/>
  <c r="G107" i="17"/>
  <c r="E107" i="17"/>
  <c r="G106" i="17"/>
  <c r="E106" i="17"/>
  <c r="H104" i="17"/>
  <c r="H102" i="17"/>
  <c r="H101" i="17"/>
  <c r="H100" i="17"/>
  <c r="G99" i="17"/>
  <c r="E99" i="17"/>
  <c r="G98" i="17"/>
  <c r="E98" i="17"/>
  <c r="H96" i="17"/>
  <c r="G95" i="17"/>
  <c r="E95" i="17"/>
  <c r="G94" i="17"/>
  <c r="E94" i="17"/>
  <c r="G93" i="17"/>
  <c r="E93" i="17"/>
  <c r="H92" i="17"/>
  <c r="G91" i="17"/>
  <c r="E91" i="17"/>
  <c r="G90" i="17"/>
  <c r="E90" i="17"/>
  <c r="G89" i="17"/>
  <c r="E89" i="17"/>
  <c r="G88" i="17"/>
  <c r="E88" i="17"/>
  <c r="G87" i="17"/>
  <c r="E87" i="17"/>
  <c r="G86" i="17"/>
  <c r="E86" i="17"/>
  <c r="H85" i="17"/>
  <c r="G84" i="17"/>
  <c r="E84" i="17"/>
  <c r="G83" i="17"/>
  <c r="E83" i="17"/>
  <c r="G82" i="17"/>
  <c r="E82" i="17"/>
  <c r="G81" i="17"/>
  <c r="E81" i="17"/>
  <c r="H78" i="17"/>
  <c r="H76" i="17"/>
  <c r="H75" i="17"/>
  <c r="G74" i="17"/>
  <c r="E74" i="17"/>
  <c r="H72" i="17"/>
  <c r="H71" i="17"/>
  <c r="G70" i="17"/>
  <c r="E70" i="17"/>
  <c r="H68" i="17"/>
  <c r="H67" i="17"/>
  <c r="G66" i="17"/>
  <c r="E66" i="17"/>
  <c r="H65" i="17"/>
  <c r="G64" i="17"/>
  <c r="E64" i="17"/>
  <c r="H62" i="17"/>
  <c r="H61" i="17"/>
  <c r="G60" i="17"/>
  <c r="E60" i="17"/>
  <c r="H59" i="17"/>
  <c r="G58" i="17"/>
  <c r="E58" i="17"/>
  <c r="H57" i="17"/>
  <c r="G56" i="17"/>
  <c r="E56" i="17"/>
  <c r="H55" i="17"/>
  <c r="G54" i="17"/>
  <c r="E54" i="17"/>
  <c r="H53" i="17"/>
  <c r="G52" i="17"/>
  <c r="E52" i="17"/>
  <c r="H50" i="17"/>
  <c r="H49" i="17"/>
  <c r="G48" i="17"/>
  <c r="E48" i="17"/>
  <c r="H47" i="17"/>
  <c r="G46" i="17"/>
  <c r="E46" i="17"/>
  <c r="H45" i="17"/>
  <c r="G44" i="17"/>
  <c r="E44" i="17"/>
  <c r="H43" i="17"/>
  <c r="G42" i="17"/>
  <c r="E42" i="17"/>
  <c r="H39" i="17"/>
  <c r="H37" i="17"/>
  <c r="G36" i="17"/>
  <c r="E36" i="17"/>
  <c r="H34" i="17"/>
  <c r="G33" i="17"/>
  <c r="E33" i="17"/>
  <c r="H31" i="17"/>
  <c r="G30" i="17"/>
  <c r="E30" i="17"/>
  <c r="G29" i="17"/>
  <c r="E29" i="17"/>
  <c r="H27" i="17"/>
  <c r="G26" i="17"/>
  <c r="E26" i="17"/>
  <c r="H24" i="17"/>
  <c r="G23" i="17"/>
  <c r="E23" i="17"/>
  <c r="H22" i="17"/>
  <c r="H21" i="17"/>
  <c r="H19" i="17"/>
  <c r="H18" i="17"/>
  <c r="H17" i="17"/>
  <c r="H16" i="17"/>
  <c r="H15" i="17"/>
  <c r="H14" i="17"/>
  <c r="H13" i="17"/>
  <c r="H12" i="17"/>
  <c r="H10" i="17"/>
  <c r="H8" i="17"/>
  <c r="G7" i="17"/>
  <c r="E7" i="17"/>
  <c r="H6" i="17"/>
  <c r="G5" i="17"/>
  <c r="E5" i="17"/>
  <c r="G4" i="17"/>
  <c r="E4" i="17"/>
  <c r="C11" i="16"/>
  <c r="C10" i="16"/>
  <c r="F7" i="16"/>
  <c r="F6" i="16"/>
  <c r="K23" i="20" l="1"/>
  <c r="K24" i="20"/>
  <c r="H179" i="17"/>
  <c r="H151" i="17"/>
  <c r="H99" i="17"/>
  <c r="H89" i="17"/>
  <c r="K69" i="20"/>
  <c r="K56" i="20"/>
  <c r="K71" i="20"/>
  <c r="K58" i="20"/>
  <c r="K67" i="20"/>
  <c r="K60" i="20"/>
  <c r="K44" i="20"/>
  <c r="H46" i="17"/>
  <c r="H58" i="17"/>
  <c r="H234" i="17"/>
  <c r="H94" i="17"/>
  <c r="H30" i="17"/>
  <c r="H29" i="17"/>
  <c r="K33" i="20"/>
  <c r="K42" i="20"/>
  <c r="K50" i="20"/>
  <c r="K21" i="20"/>
  <c r="K43" i="20"/>
  <c r="K51" i="20"/>
  <c r="K22" i="20"/>
  <c r="K35" i="20"/>
  <c r="K52" i="20"/>
  <c r="K59" i="20"/>
  <c r="K15" i="20"/>
  <c r="K13" i="20" s="1"/>
  <c r="K29" i="20"/>
  <c r="K73" i="20"/>
  <c r="K16" i="20"/>
  <c r="K31" i="20"/>
  <c r="K83" i="20"/>
  <c r="K79" i="20" s="1"/>
  <c r="K75" i="20"/>
  <c r="K84" i="20"/>
  <c r="K41" i="20"/>
  <c r="K49" i="20"/>
  <c r="K53" i="20"/>
  <c r="K40" i="20"/>
  <c r="K38" i="20" s="1"/>
  <c r="K62" i="20"/>
  <c r="K57" i="20"/>
  <c r="K64" i="20"/>
  <c r="K66" i="20"/>
  <c r="K36" i="20"/>
  <c r="K65" i="20"/>
  <c r="H86" i="17"/>
  <c r="H36" i="17"/>
  <c r="H5" i="17"/>
  <c r="H52" i="17"/>
  <c r="H182" i="17"/>
  <c r="H142" i="17"/>
  <c r="H114" i="17"/>
  <c r="H42" i="17"/>
  <c r="H66" i="17"/>
  <c r="H161" i="17"/>
  <c r="H186" i="17"/>
  <c r="H197" i="17"/>
  <c r="H214" i="17"/>
  <c r="H4" i="17"/>
  <c r="H235" i="17"/>
  <c r="H246" i="17"/>
  <c r="H249" i="17"/>
  <c r="H127" i="17"/>
  <c r="H194" i="17"/>
  <c r="H211" i="17"/>
  <c r="H128" i="17"/>
  <c r="H251" i="17"/>
  <c r="H44" i="17"/>
  <c r="H56" i="17"/>
  <c r="H176" i="17"/>
  <c r="H267" i="17"/>
  <c r="H269" i="17"/>
  <c r="H154" i="17"/>
  <c r="H206" i="17"/>
  <c r="H222" i="17"/>
  <c r="H33" i="17"/>
  <c r="H48" i="17"/>
  <c r="H60" i="17"/>
  <c r="H106" i="17"/>
  <c r="H185" i="17"/>
  <c r="H228" i="17"/>
  <c r="H250" i="17"/>
  <c r="H261" i="17"/>
  <c r="H83" i="17"/>
  <c r="H117" i="17"/>
  <c r="H132" i="17"/>
  <c r="H148" i="17"/>
  <c r="H162" i="17"/>
  <c r="H163" i="17"/>
  <c r="H218" i="17"/>
  <c r="H166" i="17"/>
  <c r="H247" i="17"/>
  <c r="H88" i="17"/>
  <c r="H98" i="17"/>
  <c r="H207" i="17"/>
  <c r="H237" i="17"/>
  <c r="H191" i="17"/>
  <c r="H110" i="17"/>
  <c r="H124" i="17"/>
  <c r="H181" i="17"/>
  <c r="H256" i="17"/>
  <c r="H74" i="17"/>
  <c r="H248" i="17"/>
  <c r="H259" i="17"/>
  <c r="H23" i="17"/>
  <c r="H82" i="17"/>
  <c r="H160" i="17"/>
  <c r="G9" i="17"/>
  <c r="C32" i="16" s="1"/>
  <c r="H173" i="17"/>
  <c r="H241" i="17"/>
  <c r="H231" i="17"/>
  <c r="H84" i="17"/>
  <c r="H93" i="17"/>
  <c r="H187" i="17"/>
  <c r="H215" i="17"/>
  <c r="H242" i="17"/>
  <c r="H70" i="17"/>
  <c r="H107" i="17"/>
  <c r="H118" i="17"/>
  <c r="H252" i="17"/>
  <c r="H145" i="17"/>
  <c r="G156" i="17"/>
  <c r="C37" i="16" s="1"/>
  <c r="H240" i="17"/>
  <c r="H260" i="17"/>
  <c r="H95" i="17"/>
  <c r="H108" i="17"/>
  <c r="H198" i="17"/>
  <c r="H87" i="17"/>
  <c r="H188" i="17"/>
  <c r="E156" i="17"/>
  <c r="B37" i="16" s="1"/>
  <c r="H202" i="17"/>
  <c r="H109" i="17"/>
  <c r="H121" i="17"/>
  <c r="H7" i="17"/>
  <c r="E38" i="17"/>
  <c r="B34" i="16" s="1"/>
  <c r="H180" i="17"/>
  <c r="K2" i="17"/>
  <c r="K3" i="17" s="1"/>
  <c r="K4" i="17" s="1"/>
  <c r="K5" i="17" s="1"/>
  <c r="K6" i="17" s="1"/>
  <c r="E272" i="17" s="1"/>
  <c r="H272" i="17" s="1"/>
  <c r="H139" i="17"/>
  <c r="H245" i="17"/>
  <c r="E103" i="17"/>
  <c r="B36" i="16" s="1"/>
  <c r="H192" i="17"/>
  <c r="H253" i="17"/>
  <c r="E9" i="17"/>
  <c r="B32" i="16" s="1"/>
  <c r="H26" i="17"/>
  <c r="G103" i="17"/>
  <c r="C36" i="16" s="1"/>
  <c r="H90" i="17"/>
  <c r="H111" i="17"/>
  <c r="H169" i="17"/>
  <c r="H225" i="17"/>
  <c r="G77" i="17"/>
  <c r="C35" i="16" s="1"/>
  <c r="H193" i="17"/>
  <c r="H236" i="17"/>
  <c r="H54" i="17"/>
  <c r="H91" i="17"/>
  <c r="H159" i="17"/>
  <c r="H170" i="17"/>
  <c r="H266" i="17"/>
  <c r="C12" i="16"/>
  <c r="F2" i="16"/>
  <c r="F3" i="16" s="1"/>
  <c r="H64" i="17"/>
  <c r="H136" i="17"/>
  <c r="G273" i="17"/>
  <c r="E77" i="17"/>
  <c r="B35" i="16" s="1"/>
  <c r="F4" i="16"/>
  <c r="F5" i="16" s="1"/>
  <c r="G38" i="17"/>
  <c r="C34" i="16" s="1"/>
  <c r="H81" i="17"/>
  <c r="H9" i="17" l="1"/>
  <c r="K47" i="20"/>
  <c r="K20" i="20"/>
  <c r="B4" i="16"/>
  <c r="C5" i="16" s="1"/>
  <c r="H156" i="17"/>
  <c r="E273" i="17"/>
  <c r="B33" i="16" s="1"/>
  <c r="H103" i="17"/>
  <c r="H38" i="17"/>
  <c r="H77" i="17"/>
  <c r="B5" i="16"/>
  <c r="H273" i="17"/>
  <c r="C7" i="16"/>
  <c r="C33" i="16"/>
  <c r="K86" i="20" l="1"/>
  <c r="C22" i="19" s="1"/>
  <c r="C29" i="19" s="1"/>
  <c r="C6" i="16"/>
  <c r="C8" i="16" s="1"/>
  <c r="B8" i="16"/>
  <c r="I28" i="19" l="1"/>
  <c r="F29" i="19"/>
  <c r="I29" i="19" s="1"/>
  <c r="D7" i="15"/>
  <c r="C9" i="16"/>
  <c r="C13" i="16" s="1"/>
  <c r="C16" i="16"/>
  <c r="B13" i="16"/>
  <c r="C21" i="16" l="1"/>
  <c r="C20" i="16"/>
  <c r="C15" i="16"/>
  <c r="C14" i="16"/>
  <c r="C22" i="16" l="1"/>
  <c r="C17" i="16"/>
  <c r="C23" i="16" l="1"/>
  <c r="C25" i="16" l="1"/>
  <c r="D8" i="15" l="1"/>
  <c r="B26" i="16"/>
  <c r="C26" i="16" s="1"/>
  <c r="C27" i="16" s="1"/>
  <c r="C30" i="16"/>
  <c r="C29" i="16"/>
  <c r="H33" i="14" l="1"/>
  <c r="G33" i="14"/>
  <c r="F33" i="14"/>
  <c r="G21" i="14" s="1"/>
  <c r="H32" i="14"/>
  <c r="I32" i="14" s="1"/>
  <c r="I33" i="14" s="1"/>
  <c r="J32" i="14" s="1"/>
  <c r="J33" i="14" s="1"/>
  <c r="G31" i="14"/>
  <c r="F31" i="14"/>
  <c r="J21" i="14"/>
  <c r="J20" i="14"/>
  <c r="G20" i="14"/>
  <c r="J19" i="14"/>
  <c r="J18" i="14"/>
  <c r="J17" i="14"/>
  <c r="J16" i="14"/>
  <c r="F7" i="15" l="1"/>
  <c r="F8" i="15"/>
  <c r="G8" i="15" s="1"/>
  <c r="G7" i="15" l="1"/>
  <c r="G11" i="13" l="1"/>
  <c r="G9" i="13"/>
  <c r="G12" i="13" l="1"/>
  <c r="G13" i="13"/>
  <c r="G14" i="13"/>
  <c r="G15" i="13"/>
  <c r="G16" i="13"/>
  <c r="G17" i="13"/>
  <c r="G18" i="13"/>
  <c r="G19" i="13"/>
  <c r="G20" i="13"/>
  <c r="G21" i="13"/>
  <c r="G22" i="13"/>
  <c r="G23" i="13"/>
  <c r="G24" i="13"/>
  <c r="G25" i="13"/>
  <c r="G26" i="13"/>
  <c r="G27" i="13"/>
  <c r="G28" i="13"/>
  <c r="G29" i="13"/>
  <c r="G30" i="13"/>
  <c r="G31" i="13"/>
  <c r="G33" i="13"/>
  <c r="U11" i="13"/>
  <c r="K11" i="13"/>
  <c r="I11" i="13"/>
  <c r="M11" i="13"/>
  <c r="AC35" i="13"/>
  <c r="U10" i="13"/>
  <c r="K10" i="13"/>
  <c r="I10" i="13"/>
  <c r="G10" i="13"/>
  <c r="M10" i="13" s="1"/>
  <c r="U9" i="13"/>
  <c r="K9" i="13"/>
  <c r="I9" i="13"/>
  <c r="M9" i="13"/>
  <c r="Q8" i="13" l="1"/>
  <c r="AD35" i="13"/>
  <c r="G8" i="13"/>
  <c r="G35" i="13" s="1"/>
  <c r="D14" i="15" s="1"/>
  <c r="U8" i="13"/>
  <c r="O8" i="13"/>
  <c r="I8" i="13"/>
  <c r="K8" i="13"/>
  <c r="M8" i="13"/>
  <c r="D16" i="15" l="1"/>
  <c r="I13" i="14" s="1"/>
  <c r="F14" i="15"/>
  <c r="F16" i="15" s="1"/>
  <c r="G419" i="12"/>
  <c r="M419" i="12" s="1"/>
  <c r="G422" i="12"/>
  <c r="M422" i="12" s="1"/>
  <c r="G413" i="12"/>
  <c r="M413" i="12" s="1"/>
  <c r="I413" i="12"/>
  <c r="K413" i="12"/>
  <c r="O413" i="12"/>
  <c r="Q413" i="12"/>
  <c r="G414" i="12"/>
  <c r="M414" i="12" s="1"/>
  <c r="I414" i="12"/>
  <c r="K414" i="12"/>
  <c r="G415" i="12"/>
  <c r="M415" i="12" s="1"/>
  <c r="I415" i="12"/>
  <c r="K415" i="12"/>
  <c r="G416" i="12"/>
  <c r="M416" i="12" s="1"/>
  <c r="I416" i="12"/>
  <c r="K416" i="12"/>
  <c r="G417" i="12"/>
  <c r="M417" i="12" s="1"/>
  <c r="I417" i="12"/>
  <c r="K417" i="12"/>
  <c r="G418" i="12"/>
  <c r="M418" i="12" s="1"/>
  <c r="I418" i="12"/>
  <c r="K418" i="12"/>
  <c r="I419" i="12"/>
  <c r="K419" i="12"/>
  <c r="G420" i="12"/>
  <c r="M420" i="12" s="1"/>
  <c r="I420" i="12"/>
  <c r="K420" i="12"/>
  <c r="G421" i="12"/>
  <c r="M421" i="12" s="1"/>
  <c r="I421" i="12"/>
  <c r="K421" i="12"/>
  <c r="I422" i="12"/>
  <c r="K422" i="12"/>
  <c r="G423" i="12"/>
  <c r="M423" i="12" s="1"/>
  <c r="I423" i="12"/>
  <c r="K423" i="12"/>
  <c r="G424" i="12"/>
  <c r="I424" i="12"/>
  <c r="K424" i="12"/>
  <c r="G425" i="12"/>
  <c r="M425" i="12" s="1"/>
  <c r="I425" i="12"/>
  <c r="K425" i="12"/>
  <c r="G14" i="15" l="1"/>
  <c r="G16" i="15" s="1"/>
  <c r="G412" i="12"/>
  <c r="M424" i="12"/>
  <c r="U413" i="12" l="1"/>
  <c r="U412" i="12" s="1"/>
  <c r="Q412" i="12"/>
  <c r="O412" i="12"/>
  <c r="K412" i="12"/>
  <c r="I412" i="12"/>
  <c r="AC428" i="12"/>
  <c r="F29" i="1" s="1"/>
  <c r="F30" i="1" s="1"/>
  <c r="G9" i="12"/>
  <c r="M9" i="12" s="1"/>
  <c r="I9" i="12"/>
  <c r="K9" i="12"/>
  <c r="O9" i="12"/>
  <c r="Q9" i="12"/>
  <c r="U9" i="12"/>
  <c r="G11" i="12"/>
  <c r="M11" i="12" s="1"/>
  <c r="I11" i="12"/>
  <c r="K11" i="12"/>
  <c r="O11" i="12"/>
  <c r="Q11" i="12"/>
  <c r="U11" i="12"/>
  <c r="G14" i="12"/>
  <c r="I14" i="12"/>
  <c r="K14" i="12"/>
  <c r="O14" i="12"/>
  <c r="Q14" i="12"/>
  <c r="U14" i="12"/>
  <c r="G16" i="12"/>
  <c r="M16" i="12" s="1"/>
  <c r="I16" i="12"/>
  <c r="K16" i="12"/>
  <c r="O16" i="12"/>
  <c r="Q16" i="12"/>
  <c r="U16" i="12"/>
  <c r="G18" i="12"/>
  <c r="M18" i="12" s="1"/>
  <c r="I18" i="12"/>
  <c r="K18" i="12"/>
  <c r="O18" i="12"/>
  <c r="Q18" i="12"/>
  <c r="U18" i="12"/>
  <c r="G21" i="12"/>
  <c r="M21" i="12" s="1"/>
  <c r="I21" i="12"/>
  <c r="K21" i="12"/>
  <c r="O21" i="12"/>
  <c r="Q21" i="12"/>
  <c r="U21" i="12"/>
  <c r="G28" i="12"/>
  <c r="M28" i="12" s="1"/>
  <c r="I28" i="12"/>
  <c r="K28" i="12"/>
  <c r="O28" i="12"/>
  <c r="Q28" i="12"/>
  <c r="U28" i="12"/>
  <c r="G30" i="12"/>
  <c r="M30" i="12" s="1"/>
  <c r="I30" i="12"/>
  <c r="K30" i="12"/>
  <c r="O30" i="12"/>
  <c r="Q30" i="12"/>
  <c r="U30" i="12"/>
  <c r="G33" i="12"/>
  <c r="M33" i="12" s="1"/>
  <c r="I33" i="12"/>
  <c r="K33" i="12"/>
  <c r="O33" i="12"/>
  <c r="Q33" i="12"/>
  <c r="U33" i="12"/>
  <c r="G36" i="12"/>
  <c r="I36" i="12"/>
  <c r="K36" i="12"/>
  <c r="O36" i="12"/>
  <c r="Q36" i="12"/>
  <c r="U36" i="12"/>
  <c r="G40" i="12"/>
  <c r="I40" i="12"/>
  <c r="K40" i="12"/>
  <c r="O40" i="12"/>
  <c r="Q40" i="12"/>
  <c r="U40" i="12"/>
  <c r="G42" i="12"/>
  <c r="M42" i="12" s="1"/>
  <c r="I42" i="12"/>
  <c r="K42" i="12"/>
  <c r="O42" i="12"/>
  <c r="Q42" i="12"/>
  <c r="U42" i="12"/>
  <c r="G44" i="12"/>
  <c r="M44" i="12" s="1"/>
  <c r="I44" i="12"/>
  <c r="K44" i="12"/>
  <c r="O44" i="12"/>
  <c r="Q44" i="12"/>
  <c r="U44" i="12"/>
  <c r="G46" i="12"/>
  <c r="M46" i="12" s="1"/>
  <c r="I46" i="12"/>
  <c r="K46" i="12"/>
  <c r="O46" i="12"/>
  <c r="Q46" i="12"/>
  <c r="U46" i="12"/>
  <c r="G48" i="12"/>
  <c r="M48" i="12" s="1"/>
  <c r="I48" i="12"/>
  <c r="K48" i="12"/>
  <c r="O48" i="12"/>
  <c r="Q48" i="12"/>
  <c r="U48" i="12"/>
  <c r="G50" i="12"/>
  <c r="M50" i="12" s="1"/>
  <c r="I50" i="12"/>
  <c r="K50" i="12"/>
  <c r="O50" i="12"/>
  <c r="Q50" i="12"/>
  <c r="U50" i="12"/>
  <c r="G53" i="12"/>
  <c r="M53" i="12" s="1"/>
  <c r="I53" i="12"/>
  <c r="K53" i="12"/>
  <c r="O53" i="12"/>
  <c r="Q53" i="12"/>
  <c r="U53" i="12"/>
  <c r="G60" i="12"/>
  <c r="M60" i="12" s="1"/>
  <c r="I60" i="12"/>
  <c r="K60" i="12"/>
  <c r="O60" i="12"/>
  <c r="Q60" i="12"/>
  <c r="U60" i="12"/>
  <c r="G62" i="12"/>
  <c r="M62" i="12" s="1"/>
  <c r="I62" i="12"/>
  <c r="K62" i="12"/>
  <c r="O62" i="12"/>
  <c r="Q62" i="12"/>
  <c r="U62" i="12"/>
  <c r="G64" i="12"/>
  <c r="M64" i="12" s="1"/>
  <c r="I64" i="12"/>
  <c r="K64" i="12"/>
  <c r="O64" i="12"/>
  <c r="Q64" i="12"/>
  <c r="U64" i="12"/>
  <c r="G76" i="12"/>
  <c r="M76" i="12" s="1"/>
  <c r="I76" i="12"/>
  <c r="K76" i="12"/>
  <c r="O76" i="12"/>
  <c r="Q76" i="12"/>
  <c r="U76" i="12"/>
  <c r="G78" i="12"/>
  <c r="M78" i="12" s="1"/>
  <c r="I78" i="12"/>
  <c r="K78" i="12"/>
  <c r="O78" i="12"/>
  <c r="Q78" i="12"/>
  <c r="U78" i="12"/>
  <c r="G80" i="12"/>
  <c r="M80" i="12" s="1"/>
  <c r="I80" i="12"/>
  <c r="K80" i="12"/>
  <c r="O80" i="12"/>
  <c r="Q80" i="12"/>
  <c r="U80" i="12"/>
  <c r="G83" i="12"/>
  <c r="I83" i="12"/>
  <c r="I82" i="12" s="1"/>
  <c r="K83" i="12"/>
  <c r="K82" i="12" s="1"/>
  <c r="O83" i="12"/>
  <c r="O82" i="12" s="1"/>
  <c r="Q83" i="12"/>
  <c r="Q82" i="12" s="1"/>
  <c r="U83" i="12"/>
  <c r="U82" i="12" s="1"/>
  <c r="G87" i="12"/>
  <c r="M87" i="12" s="1"/>
  <c r="I87" i="12"/>
  <c r="K87" i="12"/>
  <c r="O87" i="12"/>
  <c r="Q87" i="12"/>
  <c r="U87" i="12"/>
  <c r="G90" i="12"/>
  <c r="M90" i="12" s="1"/>
  <c r="I90" i="12"/>
  <c r="K90" i="12"/>
  <c r="O90" i="12"/>
  <c r="Q90" i="12"/>
  <c r="U90" i="12"/>
  <c r="G92" i="12"/>
  <c r="M92" i="12" s="1"/>
  <c r="I92" i="12"/>
  <c r="K92" i="12"/>
  <c r="O92" i="12"/>
  <c r="Q92" i="12"/>
  <c r="U92" i="12"/>
  <c r="G95" i="12"/>
  <c r="I95" i="12"/>
  <c r="K95" i="12"/>
  <c r="O95" i="12"/>
  <c r="Q95" i="12"/>
  <c r="U95" i="12"/>
  <c r="G97" i="12"/>
  <c r="M97" i="12" s="1"/>
  <c r="I97" i="12"/>
  <c r="K97" i="12"/>
  <c r="O97" i="12"/>
  <c r="Q97" i="12"/>
  <c r="U97" i="12"/>
  <c r="G99" i="12"/>
  <c r="M99" i="12" s="1"/>
  <c r="I99" i="12"/>
  <c r="K99" i="12"/>
  <c r="O99" i="12"/>
  <c r="Q99" i="12"/>
  <c r="U99" i="12"/>
  <c r="G103" i="12"/>
  <c r="M103" i="12" s="1"/>
  <c r="I103" i="12"/>
  <c r="K103" i="12"/>
  <c r="O103" i="12"/>
  <c r="Q103" i="12"/>
  <c r="U103" i="12"/>
  <c r="G106" i="12"/>
  <c r="M106" i="12" s="1"/>
  <c r="I106" i="12"/>
  <c r="K106" i="12"/>
  <c r="O106" i="12"/>
  <c r="Q106" i="12"/>
  <c r="U106" i="12"/>
  <c r="G109" i="12"/>
  <c r="M109" i="12" s="1"/>
  <c r="I109" i="12"/>
  <c r="K109" i="12"/>
  <c r="O109" i="12"/>
  <c r="Q109" i="12"/>
  <c r="U109" i="12"/>
  <c r="G111" i="12"/>
  <c r="M111" i="12" s="1"/>
  <c r="I111" i="12"/>
  <c r="K111" i="12"/>
  <c r="O111" i="12"/>
  <c r="Q111" i="12"/>
  <c r="U111" i="12"/>
  <c r="G113" i="12"/>
  <c r="M113" i="12" s="1"/>
  <c r="I113" i="12"/>
  <c r="K113" i="12"/>
  <c r="O113" i="12"/>
  <c r="Q113" i="12"/>
  <c r="U113" i="12"/>
  <c r="G115" i="12"/>
  <c r="M115" i="12" s="1"/>
  <c r="I115" i="12"/>
  <c r="K115" i="12"/>
  <c r="O115" i="12"/>
  <c r="Q115" i="12"/>
  <c r="U115" i="12"/>
  <c r="G118" i="12"/>
  <c r="M118" i="12" s="1"/>
  <c r="I118" i="12"/>
  <c r="K118" i="12"/>
  <c r="O118" i="12"/>
  <c r="Q118" i="12"/>
  <c r="U118" i="12"/>
  <c r="G122" i="12"/>
  <c r="M122" i="12" s="1"/>
  <c r="I122" i="12"/>
  <c r="K122" i="12"/>
  <c r="O122" i="12"/>
  <c r="Q122" i="12"/>
  <c r="U122" i="12"/>
  <c r="G124" i="12"/>
  <c r="M124" i="12" s="1"/>
  <c r="I124" i="12"/>
  <c r="K124" i="12"/>
  <c r="O124" i="12"/>
  <c r="Q124" i="12"/>
  <c r="U124" i="12"/>
  <c r="G126" i="12"/>
  <c r="M126" i="12" s="1"/>
  <c r="I126" i="12"/>
  <c r="K126" i="12"/>
  <c r="O126" i="12"/>
  <c r="Q126" i="12"/>
  <c r="U126" i="12"/>
  <c r="G130" i="12"/>
  <c r="M130" i="12" s="1"/>
  <c r="I130" i="12"/>
  <c r="K130" i="12"/>
  <c r="O130" i="12"/>
  <c r="Q130" i="12"/>
  <c r="U130" i="12"/>
  <c r="G132" i="12"/>
  <c r="M132" i="12" s="1"/>
  <c r="I132" i="12"/>
  <c r="K132" i="12"/>
  <c r="O132" i="12"/>
  <c r="Q132" i="12"/>
  <c r="U132" i="12"/>
  <c r="G134" i="12"/>
  <c r="M134" i="12" s="1"/>
  <c r="I134" i="12"/>
  <c r="K134" i="12"/>
  <c r="O134" i="12"/>
  <c r="Q134" i="12"/>
  <c r="U134" i="12"/>
  <c r="G136" i="12"/>
  <c r="M136" i="12" s="1"/>
  <c r="I136" i="12"/>
  <c r="K136" i="12"/>
  <c r="O136" i="12"/>
  <c r="Q136" i="12"/>
  <c r="U136" i="12"/>
  <c r="G139" i="12"/>
  <c r="M139" i="12" s="1"/>
  <c r="I139" i="12"/>
  <c r="K139" i="12"/>
  <c r="O139" i="12"/>
  <c r="Q139" i="12"/>
  <c r="U139" i="12"/>
  <c r="G142" i="12"/>
  <c r="M142" i="12" s="1"/>
  <c r="I142" i="12"/>
  <c r="K142" i="12"/>
  <c r="O142" i="12"/>
  <c r="Q142" i="12"/>
  <c r="U142" i="12"/>
  <c r="G145" i="12"/>
  <c r="M145" i="12" s="1"/>
  <c r="I145" i="12"/>
  <c r="K145" i="12"/>
  <c r="O145" i="12"/>
  <c r="Q145" i="12"/>
  <c r="U145" i="12"/>
  <c r="G148" i="12"/>
  <c r="M148" i="12" s="1"/>
  <c r="I148" i="12"/>
  <c r="K148" i="12"/>
  <c r="O148" i="12"/>
  <c r="Q148" i="12"/>
  <c r="U148" i="12"/>
  <c r="G151" i="12"/>
  <c r="M151" i="12" s="1"/>
  <c r="I151" i="12"/>
  <c r="K151" i="12"/>
  <c r="O151" i="12"/>
  <c r="Q151" i="12"/>
  <c r="U151" i="12"/>
  <c r="G154" i="12"/>
  <c r="M154" i="12" s="1"/>
  <c r="I154" i="12"/>
  <c r="K154" i="12"/>
  <c r="O154" i="12"/>
  <c r="Q154" i="12"/>
  <c r="U154" i="12"/>
  <c r="G160" i="12"/>
  <c r="M160" i="12" s="1"/>
  <c r="I160" i="12"/>
  <c r="K160" i="12"/>
  <c r="O160" i="12"/>
  <c r="Q160" i="12"/>
  <c r="U160" i="12"/>
  <c r="G162" i="12"/>
  <c r="M162" i="12" s="1"/>
  <c r="I162" i="12"/>
  <c r="K162" i="12"/>
  <c r="O162" i="12"/>
  <c r="Q162" i="12"/>
  <c r="U162" i="12"/>
  <c r="G164" i="12"/>
  <c r="M164" i="12" s="1"/>
  <c r="I164" i="12"/>
  <c r="K164" i="12"/>
  <c r="O164" i="12"/>
  <c r="Q164" i="12"/>
  <c r="U164" i="12"/>
  <c r="G167" i="12"/>
  <c r="I167" i="12"/>
  <c r="I166" i="12" s="1"/>
  <c r="K167" i="12"/>
  <c r="K166" i="12" s="1"/>
  <c r="O167" i="12"/>
  <c r="O166" i="12" s="1"/>
  <c r="Q167" i="12"/>
  <c r="Q166" i="12" s="1"/>
  <c r="U167" i="12"/>
  <c r="U166" i="12" s="1"/>
  <c r="G170" i="12"/>
  <c r="M170" i="12" s="1"/>
  <c r="I170" i="12"/>
  <c r="K170" i="12"/>
  <c r="O170" i="12"/>
  <c r="Q170" i="12"/>
  <c r="U170" i="12"/>
  <c r="G172" i="12"/>
  <c r="M172" i="12" s="1"/>
  <c r="I172" i="12"/>
  <c r="K172" i="12"/>
  <c r="O172" i="12"/>
  <c r="Q172" i="12"/>
  <c r="U172" i="12"/>
  <c r="G174" i="12"/>
  <c r="M174" i="12" s="1"/>
  <c r="I174" i="12"/>
  <c r="K174" i="12"/>
  <c r="O174" i="12"/>
  <c r="Q174" i="12"/>
  <c r="U174" i="12"/>
  <c r="G176" i="12"/>
  <c r="M176" i="12" s="1"/>
  <c r="I176" i="12"/>
  <c r="K176" i="12"/>
  <c r="O176" i="12"/>
  <c r="Q176" i="12"/>
  <c r="U176" i="12"/>
  <c r="G178" i="12"/>
  <c r="M178" i="12" s="1"/>
  <c r="I178" i="12"/>
  <c r="K178" i="12"/>
  <c r="O178" i="12"/>
  <c r="Q178" i="12"/>
  <c r="U178" i="12"/>
  <c r="G180" i="12"/>
  <c r="M180" i="12" s="1"/>
  <c r="I180" i="12"/>
  <c r="K180" i="12"/>
  <c r="O180" i="12"/>
  <c r="Q180" i="12"/>
  <c r="U180" i="12"/>
  <c r="G182" i="12"/>
  <c r="M182" i="12" s="1"/>
  <c r="I182" i="12"/>
  <c r="K182" i="12"/>
  <c r="O182" i="12"/>
  <c r="Q182" i="12"/>
  <c r="U182" i="12"/>
  <c r="G184" i="12"/>
  <c r="M184" i="12" s="1"/>
  <c r="I184" i="12"/>
  <c r="K184" i="12"/>
  <c r="O184" i="12"/>
  <c r="Q184" i="12"/>
  <c r="U184" i="12"/>
  <c r="G186" i="12"/>
  <c r="I186" i="12"/>
  <c r="K186" i="12"/>
  <c r="O186" i="12"/>
  <c r="Q186" i="12"/>
  <c r="U186" i="12"/>
  <c r="G188" i="12"/>
  <c r="M188" i="12" s="1"/>
  <c r="I188" i="12"/>
  <c r="K188" i="12"/>
  <c r="O188" i="12"/>
  <c r="Q188" i="12"/>
  <c r="U188" i="12"/>
  <c r="G190" i="12"/>
  <c r="M190" i="12" s="1"/>
  <c r="I190" i="12"/>
  <c r="K190" i="12"/>
  <c r="O190" i="12"/>
  <c r="Q190" i="12"/>
  <c r="U190" i="12"/>
  <c r="G192" i="12"/>
  <c r="M192" i="12" s="1"/>
  <c r="I192" i="12"/>
  <c r="K192" i="12"/>
  <c r="O192" i="12"/>
  <c r="Q192" i="12"/>
  <c r="U192" i="12"/>
  <c r="G194" i="12"/>
  <c r="M194" i="12" s="1"/>
  <c r="I194" i="12"/>
  <c r="K194" i="12"/>
  <c r="O194" i="12"/>
  <c r="Q194" i="12"/>
  <c r="U194" i="12"/>
  <c r="G197" i="12"/>
  <c r="I197" i="12"/>
  <c r="K197" i="12"/>
  <c r="O197" i="12"/>
  <c r="Q197" i="12"/>
  <c r="U197" i="12"/>
  <c r="G200" i="12"/>
  <c r="M200" i="12" s="1"/>
  <c r="I200" i="12"/>
  <c r="K200" i="12"/>
  <c r="O200" i="12"/>
  <c r="Q200" i="12"/>
  <c r="U200" i="12"/>
  <c r="G202" i="12"/>
  <c r="M202" i="12" s="1"/>
  <c r="I202" i="12"/>
  <c r="K202" i="12"/>
  <c r="O202" i="12"/>
  <c r="Q202" i="12"/>
  <c r="U202" i="12"/>
  <c r="G205" i="12"/>
  <c r="M205" i="12" s="1"/>
  <c r="I205" i="12"/>
  <c r="K205" i="12"/>
  <c r="O205" i="12"/>
  <c r="Q205" i="12"/>
  <c r="U205" i="12"/>
  <c r="G207" i="12"/>
  <c r="M207" i="12" s="1"/>
  <c r="I207" i="12"/>
  <c r="K207" i="12"/>
  <c r="O207" i="12"/>
  <c r="Q207" i="12"/>
  <c r="U207" i="12"/>
  <c r="G209" i="12"/>
  <c r="M209" i="12" s="1"/>
  <c r="I209" i="12"/>
  <c r="K209" i="12"/>
  <c r="O209" i="12"/>
  <c r="Q209" i="12"/>
  <c r="U209" i="12"/>
  <c r="G211" i="12"/>
  <c r="M211" i="12" s="1"/>
  <c r="I211" i="12"/>
  <c r="K211" i="12"/>
  <c r="O211" i="12"/>
  <c r="Q211" i="12"/>
  <c r="U211" i="12"/>
  <c r="G213" i="12"/>
  <c r="M213" i="12" s="1"/>
  <c r="I213" i="12"/>
  <c r="K213" i="12"/>
  <c r="O213" i="12"/>
  <c r="Q213" i="12"/>
  <c r="U213" i="12"/>
  <c r="G216" i="12"/>
  <c r="M216" i="12" s="1"/>
  <c r="I216" i="12"/>
  <c r="K216" i="12"/>
  <c r="O216" i="12"/>
  <c r="Q216" i="12"/>
  <c r="U216" i="12"/>
  <c r="G218" i="12"/>
  <c r="M218" i="12" s="1"/>
  <c r="I218" i="12"/>
  <c r="K218" i="12"/>
  <c r="O218" i="12"/>
  <c r="Q218" i="12"/>
  <c r="U218" i="12"/>
  <c r="G220" i="12"/>
  <c r="M220" i="12" s="1"/>
  <c r="I220" i="12"/>
  <c r="K220" i="12"/>
  <c r="O220" i="12"/>
  <c r="Q220" i="12"/>
  <c r="U220" i="12"/>
  <c r="G222" i="12"/>
  <c r="M222" i="12" s="1"/>
  <c r="I222" i="12"/>
  <c r="K222" i="12"/>
  <c r="O222" i="12"/>
  <c r="Q222" i="12"/>
  <c r="U222" i="12"/>
  <c r="G224" i="12"/>
  <c r="M224" i="12" s="1"/>
  <c r="I224" i="12"/>
  <c r="K224" i="12"/>
  <c r="O224" i="12"/>
  <c r="Q224" i="12"/>
  <c r="U224" i="12"/>
  <c r="G226" i="12"/>
  <c r="M226" i="12" s="1"/>
  <c r="I226" i="12"/>
  <c r="K226" i="12"/>
  <c r="O226" i="12"/>
  <c r="Q226" i="12"/>
  <c r="U226" i="12"/>
  <c r="G228" i="12"/>
  <c r="M228" i="12" s="1"/>
  <c r="I228" i="12"/>
  <c r="K228" i="12"/>
  <c r="O228" i="12"/>
  <c r="Q228" i="12"/>
  <c r="U228" i="12"/>
  <c r="G230" i="12"/>
  <c r="M230" i="12" s="1"/>
  <c r="I230" i="12"/>
  <c r="K230" i="12"/>
  <c r="O230" i="12"/>
  <c r="Q230" i="12"/>
  <c r="U230" i="12"/>
  <c r="G234" i="12"/>
  <c r="M234" i="12" s="1"/>
  <c r="I234" i="12"/>
  <c r="K234" i="12"/>
  <c r="O234" i="12"/>
  <c r="Q234" i="12"/>
  <c r="U234" i="12"/>
  <c r="G236" i="12"/>
  <c r="M236" i="12" s="1"/>
  <c r="I236" i="12"/>
  <c r="K236" i="12"/>
  <c r="O236" i="12"/>
  <c r="Q236" i="12"/>
  <c r="U236" i="12"/>
  <c r="G238" i="12"/>
  <c r="M238" i="12" s="1"/>
  <c r="I238" i="12"/>
  <c r="K238" i="12"/>
  <c r="O238" i="12"/>
  <c r="Q238" i="12"/>
  <c r="U238" i="12"/>
  <c r="G246" i="12"/>
  <c r="M246" i="12" s="1"/>
  <c r="I246" i="12"/>
  <c r="K246" i="12"/>
  <c r="O246" i="12"/>
  <c r="Q246" i="12"/>
  <c r="U246" i="12"/>
  <c r="G248" i="12"/>
  <c r="M248" i="12" s="1"/>
  <c r="I248" i="12"/>
  <c r="K248" i="12"/>
  <c r="O248" i="12"/>
  <c r="Q248" i="12"/>
  <c r="U248" i="12"/>
  <c r="G257" i="12"/>
  <c r="M257" i="12" s="1"/>
  <c r="I257" i="12"/>
  <c r="K257" i="12"/>
  <c r="O257" i="12"/>
  <c r="Q257" i="12"/>
  <c r="U257" i="12"/>
  <c r="G259" i="12"/>
  <c r="M259" i="12" s="1"/>
  <c r="I259" i="12"/>
  <c r="K259" i="12"/>
  <c r="O259" i="12"/>
  <c r="Q259" i="12"/>
  <c r="U259" i="12"/>
  <c r="G261" i="12"/>
  <c r="M261" i="12" s="1"/>
  <c r="I261" i="12"/>
  <c r="K261" i="12"/>
  <c r="O261" i="12"/>
  <c r="Q261" i="12"/>
  <c r="U261" i="12"/>
  <c r="G263" i="12"/>
  <c r="M263" i="12" s="1"/>
  <c r="I263" i="12"/>
  <c r="K263" i="12"/>
  <c r="O263" i="12"/>
  <c r="Q263" i="12"/>
  <c r="U263" i="12"/>
  <c r="G265" i="12"/>
  <c r="M265" i="12" s="1"/>
  <c r="I265" i="12"/>
  <c r="K265" i="12"/>
  <c r="O265" i="12"/>
  <c r="Q265" i="12"/>
  <c r="U265" i="12"/>
  <c r="G266" i="12"/>
  <c r="M266" i="12" s="1"/>
  <c r="I266" i="12"/>
  <c r="K266" i="12"/>
  <c r="O266" i="12"/>
  <c r="Q266" i="12"/>
  <c r="U266" i="12"/>
  <c r="G268" i="12"/>
  <c r="M268" i="12" s="1"/>
  <c r="I268" i="12"/>
  <c r="K268" i="12"/>
  <c r="O268" i="12"/>
  <c r="Q268" i="12"/>
  <c r="U268" i="12"/>
  <c r="G270" i="12"/>
  <c r="M270" i="12" s="1"/>
  <c r="I270" i="12"/>
  <c r="K270" i="12"/>
  <c r="O270" i="12"/>
  <c r="Q270" i="12"/>
  <c r="U270" i="12"/>
  <c r="G272" i="12"/>
  <c r="M272" i="12" s="1"/>
  <c r="I272" i="12"/>
  <c r="K272" i="12"/>
  <c r="O272" i="12"/>
  <c r="Q272" i="12"/>
  <c r="U272" i="12"/>
  <c r="G274" i="12"/>
  <c r="M274" i="12" s="1"/>
  <c r="I274" i="12"/>
  <c r="K274" i="12"/>
  <c r="O274" i="12"/>
  <c r="Q274" i="12"/>
  <c r="U274" i="12"/>
  <c r="G276" i="12"/>
  <c r="M276" i="12" s="1"/>
  <c r="I276" i="12"/>
  <c r="K276" i="12"/>
  <c r="O276" i="12"/>
  <c r="Q276" i="12"/>
  <c r="U276" i="12"/>
  <c r="G278" i="12"/>
  <c r="M278" i="12" s="1"/>
  <c r="I278" i="12"/>
  <c r="K278" i="12"/>
  <c r="O278" i="12"/>
  <c r="Q278" i="12"/>
  <c r="U278" i="12"/>
  <c r="G280" i="12"/>
  <c r="I280" i="12"/>
  <c r="K280" i="12"/>
  <c r="O280" i="12"/>
  <c r="Q280" i="12"/>
  <c r="U280" i="12"/>
  <c r="G282" i="12"/>
  <c r="M282" i="12" s="1"/>
  <c r="I282" i="12"/>
  <c r="K282" i="12"/>
  <c r="O282" i="12"/>
  <c r="Q282" i="12"/>
  <c r="U282" i="12"/>
  <c r="G284" i="12"/>
  <c r="M284" i="12" s="1"/>
  <c r="I284" i="12"/>
  <c r="K284" i="12"/>
  <c r="O284" i="12"/>
  <c r="Q284" i="12"/>
  <c r="U284" i="12"/>
  <c r="G286" i="12"/>
  <c r="M286" i="12" s="1"/>
  <c r="I286" i="12"/>
  <c r="K286" i="12"/>
  <c r="O286" i="12"/>
  <c r="Q286" i="12"/>
  <c r="U286" i="12"/>
  <c r="G288" i="12"/>
  <c r="M288" i="12" s="1"/>
  <c r="I288" i="12"/>
  <c r="K288" i="12"/>
  <c r="O288" i="12"/>
  <c r="Q288" i="12"/>
  <c r="U288" i="12"/>
  <c r="G290" i="12"/>
  <c r="M290" i="12" s="1"/>
  <c r="I290" i="12"/>
  <c r="K290" i="12"/>
  <c r="O290" i="12"/>
  <c r="Q290" i="12"/>
  <c r="U290" i="12"/>
  <c r="G292" i="12"/>
  <c r="M292" i="12" s="1"/>
  <c r="I292" i="12"/>
  <c r="K292" i="12"/>
  <c r="O292" i="12"/>
  <c r="Q292" i="12"/>
  <c r="U292" i="12"/>
  <c r="G294" i="12"/>
  <c r="M294" i="12" s="1"/>
  <c r="I294" i="12"/>
  <c r="K294" i="12"/>
  <c r="O294" i="12"/>
  <c r="Q294" i="12"/>
  <c r="U294" i="12"/>
  <c r="G296" i="12"/>
  <c r="M296" i="12" s="1"/>
  <c r="I296" i="12"/>
  <c r="K296" i="12"/>
  <c r="O296" i="12"/>
  <c r="Q296" i="12"/>
  <c r="U296" i="12"/>
  <c r="G298" i="12"/>
  <c r="M298" i="12" s="1"/>
  <c r="I298" i="12"/>
  <c r="K298" i="12"/>
  <c r="O298" i="12"/>
  <c r="Q298" i="12"/>
  <c r="U298" i="12"/>
  <c r="G300" i="12"/>
  <c r="M300" i="12" s="1"/>
  <c r="I300" i="12"/>
  <c r="K300" i="12"/>
  <c r="O300" i="12"/>
  <c r="Q300" i="12"/>
  <c r="U300" i="12"/>
  <c r="G302" i="12"/>
  <c r="M302" i="12" s="1"/>
  <c r="I302" i="12"/>
  <c r="K302" i="12"/>
  <c r="O302" i="12"/>
  <c r="Q302" i="12"/>
  <c r="U302" i="12"/>
  <c r="G304" i="12"/>
  <c r="M304" i="12" s="1"/>
  <c r="I304" i="12"/>
  <c r="K304" i="12"/>
  <c r="O304" i="12"/>
  <c r="Q304" i="12"/>
  <c r="U304" i="12"/>
  <c r="G306" i="12"/>
  <c r="M306" i="12" s="1"/>
  <c r="I306" i="12"/>
  <c r="K306" i="12"/>
  <c r="O306" i="12"/>
  <c r="Q306" i="12"/>
  <c r="U306" i="12"/>
  <c r="G309" i="12"/>
  <c r="M309" i="12" s="1"/>
  <c r="I309" i="12"/>
  <c r="K309" i="12"/>
  <c r="O309" i="12"/>
  <c r="Q309" i="12"/>
  <c r="U309" i="12"/>
  <c r="G312" i="12"/>
  <c r="M312" i="12" s="1"/>
  <c r="I312" i="12"/>
  <c r="K312" i="12"/>
  <c r="O312" i="12"/>
  <c r="Q312" i="12"/>
  <c r="U312" i="12"/>
  <c r="G315" i="12"/>
  <c r="M315" i="12" s="1"/>
  <c r="I315" i="12"/>
  <c r="K315" i="12"/>
  <c r="O315" i="12"/>
  <c r="Q315" i="12"/>
  <c r="U315" i="12"/>
  <c r="G318" i="12"/>
  <c r="M318" i="12" s="1"/>
  <c r="I318" i="12"/>
  <c r="K318" i="12"/>
  <c r="O318" i="12"/>
  <c r="Q318" i="12"/>
  <c r="U318" i="12"/>
  <c r="G321" i="12"/>
  <c r="M321" i="12" s="1"/>
  <c r="I321" i="12"/>
  <c r="K321" i="12"/>
  <c r="O321" i="12"/>
  <c r="Q321" i="12"/>
  <c r="U321" i="12"/>
  <c r="G323" i="12"/>
  <c r="M323" i="12" s="1"/>
  <c r="I323" i="12"/>
  <c r="K323" i="12"/>
  <c r="O323" i="12"/>
  <c r="Q323" i="12"/>
  <c r="U323" i="12"/>
  <c r="G325" i="12"/>
  <c r="M325" i="12" s="1"/>
  <c r="I325" i="12"/>
  <c r="K325" i="12"/>
  <c r="O325" i="12"/>
  <c r="Q325" i="12"/>
  <c r="U325" i="12"/>
  <c r="G327" i="12"/>
  <c r="M327" i="12" s="1"/>
  <c r="I327" i="12"/>
  <c r="K327" i="12"/>
  <c r="O327" i="12"/>
  <c r="Q327" i="12"/>
  <c r="U327" i="12"/>
  <c r="G329" i="12"/>
  <c r="I329" i="12"/>
  <c r="K329" i="12"/>
  <c r="O329" i="12"/>
  <c r="Q329" i="12"/>
  <c r="U329" i="12"/>
  <c r="G331" i="12"/>
  <c r="M331" i="12" s="1"/>
  <c r="I331" i="12"/>
  <c r="K331" i="12"/>
  <c r="O331" i="12"/>
  <c r="Q331" i="12"/>
  <c r="U331" i="12"/>
  <c r="G333" i="12"/>
  <c r="M333" i="12" s="1"/>
  <c r="I333" i="12"/>
  <c r="K333" i="12"/>
  <c r="O333" i="12"/>
  <c r="Q333" i="12"/>
  <c r="U333" i="12"/>
  <c r="G335" i="12"/>
  <c r="M335" i="12" s="1"/>
  <c r="I335" i="12"/>
  <c r="K335" i="12"/>
  <c r="O335" i="12"/>
  <c r="Q335" i="12"/>
  <c r="U335" i="12"/>
  <c r="G337" i="12"/>
  <c r="M337" i="12" s="1"/>
  <c r="I337" i="12"/>
  <c r="K337" i="12"/>
  <c r="O337" i="12"/>
  <c r="Q337" i="12"/>
  <c r="U337" i="12"/>
  <c r="G341" i="12"/>
  <c r="M341" i="12" s="1"/>
  <c r="I341" i="12"/>
  <c r="K341" i="12"/>
  <c r="O341" i="12"/>
  <c r="Q341" i="12"/>
  <c r="U341" i="12"/>
  <c r="G343" i="12"/>
  <c r="M343" i="12" s="1"/>
  <c r="I343" i="12"/>
  <c r="K343" i="12"/>
  <c r="O343" i="12"/>
  <c r="Q343" i="12"/>
  <c r="U343" i="12"/>
  <c r="G345" i="12"/>
  <c r="M345" i="12" s="1"/>
  <c r="I345" i="12"/>
  <c r="K345" i="12"/>
  <c r="O345" i="12"/>
  <c r="Q345" i="12"/>
  <c r="U345" i="12"/>
  <c r="G347" i="12"/>
  <c r="M347" i="12" s="1"/>
  <c r="I347" i="12"/>
  <c r="K347" i="12"/>
  <c r="O347" i="12"/>
  <c r="Q347" i="12"/>
  <c r="U347" i="12"/>
  <c r="G352" i="12"/>
  <c r="M352" i="12" s="1"/>
  <c r="I352" i="12"/>
  <c r="K352" i="12"/>
  <c r="O352" i="12"/>
  <c r="Q352" i="12"/>
  <c r="U352" i="12"/>
  <c r="G357" i="12"/>
  <c r="M357" i="12" s="1"/>
  <c r="I357" i="12"/>
  <c r="K357" i="12"/>
  <c r="O357" i="12"/>
  <c r="Q357" i="12"/>
  <c r="U357" i="12"/>
  <c r="G359" i="12"/>
  <c r="M359" i="12" s="1"/>
  <c r="I359" i="12"/>
  <c r="K359" i="12"/>
  <c r="O359" i="12"/>
  <c r="Q359" i="12"/>
  <c r="U359" i="12"/>
  <c r="G361" i="12"/>
  <c r="M361" i="12" s="1"/>
  <c r="I361" i="12"/>
  <c r="K361" i="12"/>
  <c r="O361" i="12"/>
  <c r="Q361" i="12"/>
  <c r="U361" i="12"/>
  <c r="G363" i="12"/>
  <c r="I363" i="12"/>
  <c r="I362" i="12" s="1"/>
  <c r="K363" i="12"/>
  <c r="K362" i="12" s="1"/>
  <c r="O363" i="12"/>
  <c r="O362" i="12" s="1"/>
  <c r="Q363" i="12"/>
  <c r="Q362" i="12" s="1"/>
  <c r="U363" i="12"/>
  <c r="U362" i="12" s="1"/>
  <c r="G373" i="12"/>
  <c r="M373" i="12" s="1"/>
  <c r="I373" i="12"/>
  <c r="K373" i="12"/>
  <c r="O373" i="12"/>
  <c r="Q373" i="12"/>
  <c r="U373" i="12"/>
  <c r="G386" i="12"/>
  <c r="M386" i="12" s="1"/>
  <c r="I386" i="12"/>
  <c r="K386" i="12"/>
  <c r="O386" i="12"/>
  <c r="Q386" i="12"/>
  <c r="U386" i="12"/>
  <c r="G400" i="12"/>
  <c r="M400" i="12" s="1"/>
  <c r="I400" i="12"/>
  <c r="K400" i="12"/>
  <c r="O400" i="12"/>
  <c r="Q400" i="12"/>
  <c r="U400" i="12"/>
  <c r="G410" i="12"/>
  <c r="I410" i="12"/>
  <c r="I409" i="12" s="1"/>
  <c r="K410" i="12"/>
  <c r="K409" i="12" s="1"/>
  <c r="O410" i="12"/>
  <c r="O409" i="12" s="1"/>
  <c r="Q410" i="12"/>
  <c r="Q409" i="12" s="1"/>
  <c r="U410" i="12"/>
  <c r="U409" i="12" s="1"/>
  <c r="I17" i="1"/>
  <c r="I15" i="1"/>
  <c r="AZ37" i="1"/>
  <c r="AZ36" i="1"/>
  <c r="AZ35" i="1"/>
  <c r="AZ33" i="1"/>
  <c r="G24" i="1"/>
  <c r="J25" i="1"/>
  <c r="J23" i="1"/>
  <c r="G28" i="1"/>
  <c r="F28" i="1"/>
  <c r="J20" i="1"/>
  <c r="J21" i="1"/>
  <c r="J22" i="1"/>
  <c r="J24" i="1"/>
  <c r="E21" i="1"/>
  <c r="E23" i="1"/>
  <c r="M412" i="12" l="1"/>
  <c r="I63" i="1"/>
  <c r="Q86" i="12"/>
  <c r="O86" i="12"/>
  <c r="U20" i="12"/>
  <c r="U8" i="12"/>
  <c r="O308" i="12"/>
  <c r="Q8" i="12"/>
  <c r="Q185" i="12"/>
  <c r="O20" i="12"/>
  <c r="O8" i="12"/>
  <c r="I191" i="12"/>
  <c r="K8" i="12"/>
  <c r="M191" i="12"/>
  <c r="K185" i="12"/>
  <c r="Q169" i="12"/>
  <c r="Q75" i="12"/>
  <c r="O13" i="12"/>
  <c r="K75" i="12"/>
  <c r="K372" i="12"/>
  <c r="I13" i="12"/>
  <c r="K346" i="12"/>
  <c r="I372" i="12"/>
  <c r="M36" i="12"/>
  <c r="AD428" i="12"/>
  <c r="G29" i="1" s="1"/>
  <c r="G30" i="1" s="1"/>
  <c r="G25" i="1" s="1"/>
  <c r="I328" i="12"/>
  <c r="U237" i="12"/>
  <c r="K196" i="12"/>
  <c r="U94" i="12"/>
  <c r="I39" i="12"/>
  <c r="Q237" i="12"/>
  <c r="I196" i="12"/>
  <c r="I185" i="12"/>
  <c r="Q94" i="12"/>
  <c r="O75" i="12"/>
  <c r="K20" i="12"/>
  <c r="U13" i="12"/>
  <c r="U372" i="12"/>
  <c r="O237" i="12"/>
  <c r="O94" i="12"/>
  <c r="I20" i="12"/>
  <c r="Q13" i="12"/>
  <c r="I8" i="12"/>
  <c r="Q372" i="12"/>
  <c r="U308" i="12"/>
  <c r="K237" i="12"/>
  <c r="K94" i="12"/>
  <c r="I75" i="12"/>
  <c r="O372" i="12"/>
  <c r="Q308" i="12"/>
  <c r="I237" i="12"/>
  <c r="U169" i="12"/>
  <c r="I94" i="12"/>
  <c r="U86" i="12"/>
  <c r="K13" i="12"/>
  <c r="I308" i="12"/>
  <c r="K169" i="12"/>
  <c r="K86" i="12"/>
  <c r="K308" i="12"/>
  <c r="O169" i="12"/>
  <c r="U279" i="12"/>
  <c r="I169" i="12"/>
  <c r="I86" i="12"/>
  <c r="Q279" i="12"/>
  <c r="U138" i="12"/>
  <c r="O279" i="12"/>
  <c r="U191" i="12"/>
  <c r="Q138" i="12"/>
  <c r="U346" i="12"/>
  <c r="K279" i="12"/>
  <c r="Q191" i="12"/>
  <c r="O138" i="12"/>
  <c r="Q346" i="12"/>
  <c r="U328" i="12"/>
  <c r="I279" i="12"/>
  <c r="O191" i="12"/>
  <c r="K138" i="12"/>
  <c r="U39" i="12"/>
  <c r="O346" i="12"/>
  <c r="Q328" i="12"/>
  <c r="U196" i="12"/>
  <c r="K191" i="12"/>
  <c r="U185" i="12"/>
  <c r="I138" i="12"/>
  <c r="Q39" i="12"/>
  <c r="O39" i="12"/>
  <c r="O328" i="12"/>
  <c r="Q196" i="12"/>
  <c r="I346" i="12"/>
  <c r="K328" i="12"/>
  <c r="O196" i="12"/>
  <c r="O185" i="12"/>
  <c r="U75" i="12"/>
  <c r="K39" i="12"/>
  <c r="Q20" i="12"/>
  <c r="G20" i="1"/>
  <c r="G362" i="12"/>
  <c r="I60" i="1" s="1"/>
  <c r="M363" i="12"/>
  <c r="M362" i="12" s="1"/>
  <c r="G196" i="12"/>
  <c r="I54" i="1" s="1"/>
  <c r="M197" i="12"/>
  <c r="M196" i="12" s="1"/>
  <c r="G185" i="12"/>
  <c r="I52" i="1" s="1"/>
  <c r="M186" i="12"/>
  <c r="M185" i="12" s="1"/>
  <c r="G166" i="12"/>
  <c r="I50" i="1" s="1"/>
  <c r="M167" i="12"/>
  <c r="M166" i="12" s="1"/>
  <c r="G82" i="12"/>
  <c r="I46" i="1" s="1"/>
  <c r="M83" i="12"/>
  <c r="M82" i="12" s="1"/>
  <c r="G13" i="12"/>
  <c r="I42" i="1" s="1"/>
  <c r="M14" i="12"/>
  <c r="M13" i="12" s="1"/>
  <c r="M346" i="12"/>
  <c r="M308" i="12"/>
  <c r="M138" i="12"/>
  <c r="M75" i="12"/>
  <c r="G409" i="12"/>
  <c r="I62" i="1" s="1"/>
  <c r="M410" i="12"/>
  <c r="M409" i="12" s="1"/>
  <c r="G328" i="12"/>
  <c r="I58" i="1" s="1"/>
  <c r="M329" i="12"/>
  <c r="M328" i="12" s="1"/>
  <c r="G279" i="12"/>
  <c r="I56" i="1" s="1"/>
  <c r="M280" i="12"/>
  <c r="M279" i="12" s="1"/>
  <c r="G94" i="12"/>
  <c r="I48" i="1" s="1"/>
  <c r="M95" i="12"/>
  <c r="M94" i="12" s="1"/>
  <c r="G39" i="12"/>
  <c r="I44" i="1" s="1"/>
  <c r="M40" i="12"/>
  <c r="M39" i="12" s="1"/>
  <c r="M372" i="12"/>
  <c r="M237" i="12"/>
  <c r="M169" i="12"/>
  <c r="M86" i="12"/>
  <c r="M20" i="12"/>
  <c r="M8" i="12"/>
  <c r="G372" i="12"/>
  <c r="G346" i="12"/>
  <c r="I59" i="1" s="1"/>
  <c r="G308" i="12"/>
  <c r="I57" i="1" s="1"/>
  <c r="G237" i="12"/>
  <c r="I55" i="1" s="1"/>
  <c r="G191" i="12"/>
  <c r="I53" i="1" s="1"/>
  <c r="G169" i="12"/>
  <c r="I51" i="1" s="1"/>
  <c r="G138" i="12"/>
  <c r="I49" i="1" s="1"/>
  <c r="G86" i="12"/>
  <c r="I47" i="1" s="1"/>
  <c r="G75" i="12"/>
  <c r="I45" i="1" s="1"/>
  <c r="G20" i="12"/>
  <c r="I43" i="1" s="1"/>
  <c r="G8" i="12"/>
  <c r="I61" i="1" l="1"/>
  <c r="G428" i="12"/>
  <c r="I14" i="1"/>
  <c r="H29" i="1"/>
  <c r="I29" i="1" s="1"/>
  <c r="I30" i="1" s="1"/>
  <c r="J29" i="1" s="1"/>
  <c r="J30" i="1" s="1"/>
  <c r="I41" i="1"/>
  <c r="I13" i="1" s="1"/>
  <c r="G21" i="1"/>
  <c r="H30" i="1" l="1"/>
  <c r="I64" i="1"/>
  <c r="I18" i="1"/>
  <c r="D6" i="15" l="1" a="1"/>
  <c r="D6" i="15" s="1"/>
  <c r="F6" i="15" s="1"/>
  <c r="G22" i="1"/>
  <c r="I12" i="14"/>
  <c r="I14" i="14" s="1"/>
  <c r="D9" i="15" l="1"/>
  <c r="D21" i="15" s="1"/>
  <c r="G23" i="1"/>
  <c r="G26" i="1" s="1"/>
  <c r="G19" i="14"/>
  <c r="G18" i="14"/>
  <c r="G6" i="15"/>
  <c r="G9" i="15" s="1"/>
  <c r="G21" i="15" s="1"/>
  <c r="F9" i="15"/>
  <c r="F21" i="15" s="1"/>
  <c r="G22" i="14" l="1"/>
  <c r="E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7" authorId="0" shapeId="0" xr:uid="{985F4826-78A2-4ACA-A013-30846CA78EA9}">
      <text>
        <r>
          <rPr>
            <sz val="9"/>
            <color indexed="81"/>
            <rFont val="Tahoma"/>
            <family val="2"/>
            <charset val="238"/>
          </rPr>
          <t>Název</t>
        </r>
      </text>
    </comment>
    <comment ref="I7" authorId="0" shapeId="0" xr:uid="{BDD975C4-1E87-4149-8E9D-309AA4F95E6F}">
      <text>
        <r>
          <rPr>
            <sz val="9"/>
            <color indexed="81"/>
            <rFont val="Tahoma"/>
            <family val="2"/>
            <charset val="238"/>
          </rPr>
          <t>IČO</t>
        </r>
      </text>
    </comment>
    <comment ref="D8" authorId="0" shapeId="0" xr:uid="{6AC9BA9E-A7EC-477C-9675-CE7A6AC9FDFC}">
      <text>
        <r>
          <rPr>
            <sz val="9"/>
            <color indexed="81"/>
            <rFont val="Tahoma"/>
            <family val="2"/>
            <charset val="238"/>
          </rPr>
          <t>Ulice</t>
        </r>
      </text>
    </comment>
    <comment ref="I8" authorId="0" shapeId="0" xr:uid="{7FB5C51E-B819-4458-B35C-330260206706}">
      <text>
        <r>
          <rPr>
            <sz val="9"/>
            <color indexed="81"/>
            <rFont val="Tahoma"/>
            <family val="2"/>
            <charset val="238"/>
          </rPr>
          <t>DIČ</t>
        </r>
      </text>
    </comment>
    <comment ref="C9" authorId="0" shapeId="0" xr:uid="{E95BC1E1-C576-4A58-84BD-02612AC3A450}">
      <text>
        <r>
          <rPr>
            <sz val="9"/>
            <color indexed="81"/>
            <rFont val="Tahoma"/>
            <family val="2"/>
            <charset val="238"/>
          </rPr>
          <t>PSČ</t>
        </r>
      </text>
    </comment>
    <comment ref="D9" authorId="0" shapeId="0" xr:uid="{DEFB8E6D-9155-4EB7-AF81-934E2FD24BB2}">
      <text>
        <r>
          <rPr>
            <sz val="9"/>
            <color indexed="81"/>
            <rFont val="Tahoma"/>
            <family val="2"/>
            <charset val="238"/>
          </rPr>
          <t>Město/Obec</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<sst xmlns="http://schemas.openxmlformats.org/spreadsheetml/2006/main" count="2843" uniqueCount="1228">
  <si>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</si>
  <si>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</si>
  <si>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</si>
  <si>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</si>
  <si>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</si>
  <si>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</si>
  <si>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</si>
  <si>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</si>
  <si>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</si>
  <si>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</si>
  <si>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</si>
  <si>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</si>
  <si>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</si>
  <si>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</si>
  <si>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</si>
  <si>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</si>
  <si>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</si>
  <si>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</si>
  <si>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</si>
  <si>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</si>
  <si>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</si>
  <si>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</si>
  <si>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</si>
  <si>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</si>
  <si>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</si>
  <si>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</si>
  <si>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</si>
  <si>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</si>
  <si>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</si>
  <si>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</si>
  <si>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</si>
  <si>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</si>
  <si>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</si>
  <si>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</si>
  <si>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</si>
  <si>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</si>
  <si>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</si>
  <si>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</si>
  <si>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Zakázka:</t>
  </si>
  <si>
    <t>Z:</t>
  </si>
  <si>
    <t>Objekt:</t>
  </si>
  <si>
    <t>Rozpočet:</t>
  </si>
  <si>
    <t>Tišnov - stavební úpravy ambulance - CSS - objekt A2</t>
  </si>
  <si>
    <t>Rozpočet</t>
  </si>
  <si>
    <t>Celkem za stavbu</t>
  </si>
  <si>
    <t>CZK</t>
  </si>
  <si>
    <t xml:space="preserve">Popis rozpočtu:  - </t>
  </si>
  <si>
    <t>Otvory do 3,5 m2 se neodečítají (omítky, malby, SDK).</t>
  </si>
  <si>
    <t>Součásti rozpočtu není:</t>
  </si>
  <si>
    <t>- chemické WC (bude využito stávající v objektu)</t>
  </si>
  <si>
    <t>Rekapitulace dílů</t>
  </si>
  <si>
    <t>Typ dílu</t>
  </si>
  <si>
    <t>1</t>
  </si>
  <si>
    <t>Zemní práce</t>
  </si>
  <si>
    <t>3</t>
  </si>
  <si>
    <t>Svislé a kompletní konstrukce</t>
  </si>
  <si>
    <t>63</t>
  </si>
  <si>
    <t>Podlahy a podlahové konstrukce</t>
  </si>
  <si>
    <t>64</t>
  </si>
  <si>
    <t>Výplně otvorů</t>
  </si>
  <si>
    <t>90</t>
  </si>
  <si>
    <t>Přípočty</t>
  </si>
  <si>
    <t>94</t>
  </si>
  <si>
    <t>Lešení a stavební výtahy</t>
  </si>
  <si>
    <t>95</t>
  </si>
  <si>
    <t>Dokončovací kce na pozem.stav.</t>
  </si>
  <si>
    <t>96</t>
  </si>
  <si>
    <t>Bourání konstrukcí</t>
  </si>
  <si>
    <t>97</t>
  </si>
  <si>
    <t>Odvoz a likvidace odpadu</t>
  </si>
  <si>
    <t>99</t>
  </si>
  <si>
    <t>Staveništní přesun hmot</t>
  </si>
  <si>
    <t>711</t>
  </si>
  <si>
    <t>Izolace proti vodě</t>
  </si>
  <si>
    <t>713</t>
  </si>
  <si>
    <t>Izolace tepelné</t>
  </si>
  <si>
    <t>730</t>
  </si>
  <si>
    <t>Ústřední vytápění</t>
  </si>
  <si>
    <t>763</t>
  </si>
  <si>
    <t>Sádrokartony</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</si>
  <si>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</si>
  <si>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</si>
  <si>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</si>
  <si>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</si>
  <si>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</si>
  <si>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</si>
  <si>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</si>
  <si>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</si>
  <si>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</si>
  <si>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</si>
  <si>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</si>
  <si>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</si>
  <si>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</si>
  <si>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</si>
  <si>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790</t>
  </si>
  <si>
    <t>Vnitřní vybavení</t>
  </si>
  <si>
    <t>VN</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</si>
  <si>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</si>
  <si>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</si>
  <si>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</si>
  <si>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</si>
  <si>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</si>
  <si>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</si>
  <si>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</si>
  <si>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</si>
  <si>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</si>
  <si>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</si>
  <si>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</si>
  <si>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</si>
  <si>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</si>
  <si>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</si>
  <si>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</si>
  <si>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</si>
  <si>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</si>
  <si>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</si>
  <si>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</si>
  <si>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</si>
  <si>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</si>
  <si>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</si>
  <si>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</si>
  <si>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</si>
  <si>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</si>
  <si>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</si>
  <si>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</si>
  <si>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</si>
  <si>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139711101RT3</t>
  </si>
  <si>
    <t>Vykopávka v uzavřených prostorách v hor.1-4, hornina 3</t>
  </si>
  <si>
    <t>m3</t>
  </si>
  <si>
    <t>POL1_0</t>
  </si>
  <si>
    <t>0,37*(0,86*0,625+1,145*0,755+0,515*0,86+0,865*0,86+1,145*0,75)</t>
  </si>
  <si>
    <t>VV</t>
  </si>
  <si>
    <t>175100020RAC</t>
  </si>
  <si>
    <t>Obsyp potrubí pískem, dovoz písku ze vzdálenosti 10 km</t>
  </si>
  <si>
    <t>POL2_0</t>
  </si>
  <si>
    <t>3-1</t>
  </si>
  <si>
    <t>Zazdění sprchové vaničky</t>
  </si>
  <si>
    <t>kus</t>
  </si>
  <si>
    <t>319201311R00</t>
  </si>
  <si>
    <t>Vyrovnání povrchu zdiva maltou tl.do 2 cm</t>
  </si>
  <si>
    <t>m2</t>
  </si>
  <si>
    <t>1S.0.11b:1,7*3,45</t>
  </si>
  <si>
    <t>346275112R00</t>
  </si>
  <si>
    <t>Přizdívky z desek plynosilikátu tl. 75 mm</t>
  </si>
  <si>
    <t>0,65*3,45</t>
  </si>
  <si>
    <t>631416211RT1</t>
  </si>
  <si>
    <t>Mazanina betonová pytlovaná, pevnost v tlaku 25 MPa</t>
  </si>
  <si>
    <t>stáv. kanálek:0,3*2,3*0,2*1,1</t>
  </si>
  <si>
    <t>po příčce:0,1*0,13*(0,35*2+0,15+1,1*2+0,6+1,1+1+1,35*2+1,2+3,45+3,3)*1,1</t>
  </si>
  <si>
    <t>po příčce:0,15*0,13*(0,4*2+4,05+4,1*2+7,275+3,05+3,25)*1,1</t>
  </si>
  <si>
    <t>0,13*(0,86*0,625+1,145*0,755+0,515*0,86+0,865*0,86+1,145*0,75)*1,1</t>
  </si>
  <si>
    <t>0,13*0,15*(4,1*1,5+7,05+1,6*1,5+7,2+1,85+4,325+4,4)*1,1</t>
  </si>
  <si>
    <t>0,13*0,15*(0,525/2+2,35+1+1,675+3,3+1,775+4,175)*1,1</t>
  </si>
  <si>
    <t>631361921RT1</t>
  </si>
  <si>
    <t>Výztuž mazanin svařovanou sítí, KA 16, drát d 4,0 mm, oko 100 x 100 mm</t>
  </si>
  <si>
    <t>t</t>
  </si>
  <si>
    <t>cca:5*6*0,0021</t>
  </si>
  <si>
    <t>632415104RT3</t>
  </si>
  <si>
    <t>Potěr samonivelační ručně tl. 3 mm, rychleschnoucí</t>
  </si>
  <si>
    <t>1S.0.4b:39,85</t>
  </si>
  <si>
    <t>1S.0.11c:2,91</t>
  </si>
  <si>
    <t>632411904R00</t>
  </si>
  <si>
    <t>Penetrace savých podkladů 0,25 l/m2</t>
  </si>
  <si>
    <t>1S.0.4b:39,85/2</t>
  </si>
  <si>
    <t>1S.0.8-1S.0.9:(23,19+21,33)/2</t>
  </si>
  <si>
    <t>632411150RT4</t>
  </si>
  <si>
    <t>Potěr ze SMS, ruční zpracování, tl. 50 mm, cementový potěr jemný 25 MPa</t>
  </si>
  <si>
    <t>642101013RAC</t>
  </si>
  <si>
    <t>Výměna okna 2,7 m2, oprava ostění, zeď tloušťky 60 cm</t>
  </si>
  <si>
    <t>Z15:1</t>
  </si>
  <si>
    <t>642201012RAA</t>
  </si>
  <si>
    <t>Výměna dveří 2kř, požární zárubeň, oprava ostění, bez změny velikosti otvoru</t>
  </si>
  <si>
    <t>Z3:1</t>
  </si>
  <si>
    <t>642201013RAA</t>
  </si>
  <si>
    <t>Výměna dveří 1kř, změna nadpraží, zárubeň, zeď tloušťky 15 cm</t>
  </si>
  <si>
    <t>Z2:1</t>
  </si>
  <si>
    <t>642202011RAA</t>
  </si>
  <si>
    <t>Zazdění dveří jednokřídlových, omítka, zeď tloušťky 15 cm</t>
  </si>
  <si>
    <t>2</t>
  </si>
  <si>
    <t>642202012RAA</t>
  </si>
  <si>
    <t>Zazdění dveří dvoukřídlových, omítka, zeď tloušťky 15 cm</t>
  </si>
  <si>
    <t>642200011RAA</t>
  </si>
  <si>
    <t>Vybour. otvoru dveře 1kř, překlad, zárubeň, zeď tloušťky 15 cm</t>
  </si>
  <si>
    <t>T8 - dvoukřídlé:2</t>
  </si>
  <si>
    <t>Z1:1</t>
  </si>
  <si>
    <t>642942214RT2</t>
  </si>
  <si>
    <t>Osazení zárubně do sádrokarton. příčky tl. 150 mm, včetně dodávky zárubně 1000/150</t>
  </si>
  <si>
    <t>T1:1</t>
  </si>
  <si>
    <t>T3:1</t>
  </si>
  <si>
    <t>T4:1</t>
  </si>
  <si>
    <t>T5:1</t>
  </si>
  <si>
    <t>T6:1</t>
  </si>
  <si>
    <t>T7:2</t>
  </si>
  <si>
    <t>642942214R00</t>
  </si>
  <si>
    <t>Osazení zárubně do sádrokarton. příčky tl. 150 mm</t>
  </si>
  <si>
    <t>T2:1</t>
  </si>
  <si>
    <t>64-1</t>
  </si>
  <si>
    <t>Zárubeň s nadsvětlíkem 2800x800mm, čiré sklo, žárový pozink</t>
  </si>
  <si>
    <t>64-2</t>
  </si>
  <si>
    <t>Příplatek za pozinkované zárubně</t>
  </si>
  <si>
    <t>T8:1</t>
  </si>
  <si>
    <t>P1</t>
  </si>
  <si>
    <t>11</t>
  </si>
  <si>
    <t>P2</t>
  </si>
  <si>
    <t>m</t>
  </si>
  <si>
    <t>15</t>
  </si>
  <si>
    <t>90-1</t>
  </si>
  <si>
    <t>Zapravení rýh a prostupů po instalacích, otvorů VZT apod., hrubá omítka</t>
  </si>
  <si>
    <t>kpl</t>
  </si>
  <si>
    <t>941955001R00</t>
  </si>
  <si>
    <t>Lešení lehké pomocné, výška podlahy do 1,2 m</t>
  </si>
  <si>
    <t>1S.0.3:40,19</t>
  </si>
  <si>
    <t>952901111R00</t>
  </si>
  <si>
    <t>Vyčištění budov o výšce podlaží do 4 m</t>
  </si>
  <si>
    <t>95-1</t>
  </si>
  <si>
    <t>Zakrývání stávajících konstrukcí</t>
  </si>
  <si>
    <t>95-2</t>
  </si>
  <si>
    <t>Odvoz a likvidace odpadu ze stavby, obaly, igelity, dlažby apod.</t>
  </si>
  <si>
    <t>962200011RAA</t>
  </si>
  <si>
    <t>Bourání příček z cihel pálených, tloušťka 10 cm</t>
  </si>
  <si>
    <t>3,45*(0,35*2+0,15+1,1*2+0,6+1,1+1+1,35*2+1,2+3,45+3,3)</t>
  </si>
  <si>
    <t>962200011RAB</t>
  </si>
  <si>
    <t>Bourání příček z cihel pálených, tloušťka 15 cm</t>
  </si>
  <si>
    <t>3,45*(0,4*2+4,05+4,1*2+7,275+3,05+3,25)</t>
  </si>
  <si>
    <t>965200013RA0</t>
  </si>
  <si>
    <t>Bourání mazanin betonových</t>
  </si>
  <si>
    <t>0,13*(0,86*0,625+1,145*0,755+0,515*0,86+0,865*0,86+1,145*0,75)</t>
  </si>
  <si>
    <t>0,13*0,3*(4,1*1,5+7,05+1,6*1,5+7,2+1,85+4,325+4,4)</t>
  </si>
  <si>
    <t>0,13*0,3*(0,525/2+2,35+1+1,675+3,3+1,775+4,175)</t>
  </si>
  <si>
    <t>771990010RA0</t>
  </si>
  <si>
    <t>Vybourání keramické nebo teracové dlažby</t>
  </si>
  <si>
    <t>(7,05*8,6+7,2*4,3+1,35*0,9+1,45*1,05+1,35*1,1)</t>
  </si>
  <si>
    <t xml:space="preserve"> 7,2*1</t>
  </si>
  <si>
    <t>781900010RA0</t>
  </si>
  <si>
    <t>Odsekání obkladů vnitřních</t>
  </si>
  <si>
    <t>3,1*2*(7,05+8,6)</t>
  </si>
  <si>
    <t>2*2*(7,2+4,3+1,35+0,9+1,45+1,05/2+1,35+1,1)-2*0,8*9</t>
  </si>
  <si>
    <t>970041160R00</t>
  </si>
  <si>
    <t>Vrtání jádrové do prostého betonu do D 160 mm</t>
  </si>
  <si>
    <t>BP1:6*0,35</t>
  </si>
  <si>
    <t>971033331R00</t>
  </si>
  <si>
    <t>Vybourání otv. zeď cihel. pl.0,09 m2, tl.15cm, MVC</t>
  </si>
  <si>
    <t>622901112R00</t>
  </si>
  <si>
    <t>Ubroušení podlah od lepidla</t>
  </si>
  <si>
    <t>103,0125+38,38625</t>
  </si>
  <si>
    <t>776510010RA0</t>
  </si>
  <si>
    <t>Demontáž povlakových podlah z nášlapné plochy</t>
  </si>
  <si>
    <t>3,05*3,45</t>
  </si>
  <si>
    <t>2,075*3,25+3,3*6,4</t>
  </si>
  <si>
    <t>919735123R00</t>
  </si>
  <si>
    <t>Řezání stávajícího betonového krytu tl. 10 - 15 cm</t>
  </si>
  <si>
    <t>2*(0,86+0,625+4,1*1,5+7,05+1,6+0,455+1,6/2)</t>
  </si>
  <si>
    <t>2*(0,515+0,685+0,45+7,2+1,85+4,325+4,4+0,525/2)</t>
  </si>
  <si>
    <t>2*(2,35+1+1,675+3,3+1,775+4,175)</t>
  </si>
  <si>
    <t>725290010RA0</t>
  </si>
  <si>
    <t>Demontáž klozetu včetně splachovací nádrže</t>
  </si>
  <si>
    <t>725290020RA0</t>
  </si>
  <si>
    <t>Demontáž umyvadla včetně baterie a konzol</t>
  </si>
  <si>
    <t>783801812R00</t>
  </si>
  <si>
    <t>Odstranění nátěrů z omítek stěn, oškrabáním</t>
  </si>
  <si>
    <t>1S.0.4b:3,32*(17,925+2,25*2+0,15+3,225+0,15*5)</t>
  </si>
  <si>
    <t>1S.0.12:3,32*8,5/2</t>
  </si>
  <si>
    <t>stávající v nové:3,32*(17,925+3,225+0,3*3*6+4,5+4,605*2+4,4*2)</t>
  </si>
  <si>
    <t>963016111R00</t>
  </si>
  <si>
    <t>Demontáž podhledu SDK, kovová kce., 1xoplášť.12,5 mm</t>
  </si>
  <si>
    <t>40</t>
  </si>
  <si>
    <t>96-1</t>
  </si>
  <si>
    <t>Demontáž stáv. kanálku, dle PD</t>
  </si>
  <si>
    <t>2,3</t>
  </si>
  <si>
    <t>733200010RA0</t>
  </si>
  <si>
    <t>Demontáž potrubí ocelového do DN 40</t>
  </si>
  <si>
    <t>plyn:35</t>
  </si>
  <si>
    <t>728111814R00</t>
  </si>
  <si>
    <t>Demontáž potrubí plechového čtyřhranného do 0,13 m2</t>
  </si>
  <si>
    <t>VZT:50</t>
  </si>
  <si>
    <t>979082111R00</t>
  </si>
  <si>
    <t>Vnitrostaveništní doprava suti do 10 m</t>
  </si>
  <si>
    <t>zemina:0,37*(0,86*0,625+1,145*0,755+0,515*0,86+0,865*0,86+1,145*0,75)*1,67</t>
  </si>
  <si>
    <t>(2,60563+52,41321)</t>
  </si>
  <si>
    <t>979082121R00</t>
  </si>
  <si>
    <t>Příplatek k vnitrost. dopravě suti za dalších 5 m</t>
  </si>
  <si>
    <t>zemina:0,37*(0,86*0,625+1,145*0,755+0,515*0,86+0,865*0,86+1,145*0,75)*1,67*6</t>
  </si>
  <si>
    <t>(2,60563+52,41321)*6</t>
  </si>
  <si>
    <t>979087113R00</t>
  </si>
  <si>
    <t>Nakládání vybour.hmot na doprav.prostředky</t>
  </si>
  <si>
    <t>979081111R00</t>
  </si>
  <si>
    <t>Odvoz suti a vybour. hmot na skládku do 1 km</t>
  </si>
  <si>
    <t>979081121R00</t>
  </si>
  <si>
    <t>Příplatek k odvozu za každý další 1 km</t>
  </si>
  <si>
    <t>zemina:0,37*(0,86*0,625+1,145*0,755+0,515*0,86+0,865*0,86+1,145*0,75)*1,67*14</t>
  </si>
  <si>
    <t>(2,60563+52,41321)*14</t>
  </si>
  <si>
    <t>979999998R00</t>
  </si>
  <si>
    <t>Poplatek za ukládku suť do 5 % příměsí (skup.170107)</t>
  </si>
  <si>
    <t>PVC krytina:-0,13435</t>
  </si>
  <si>
    <t>keramika:-(0,01933+0,06374)</t>
  </si>
  <si>
    <t>SDK:-0,4732</t>
  </si>
  <si>
    <t>979990181R00</t>
  </si>
  <si>
    <t>Poplatek za uložení suti - PVC podlahová krytina, skupina odpadu 200307</t>
  </si>
  <si>
    <t>0,13435</t>
  </si>
  <si>
    <t>979990111R00</t>
  </si>
  <si>
    <t>Poplatek za uložení suti - stavební keramika, skupina odpadu 170103</t>
  </si>
  <si>
    <t>(0,01933+0,06374)</t>
  </si>
  <si>
    <t>979990110R00</t>
  </si>
  <si>
    <t>Poplatek za uložení suti - sádrokartonové desky, skupina odpadu 170802</t>
  </si>
  <si>
    <t>0,4732</t>
  </si>
  <si>
    <t>999281145R00</t>
  </si>
  <si>
    <t>Přesun hmot pro opravy a údržbu do v. 6 m, nošením</t>
  </si>
  <si>
    <t>2,13023+0,45339+9,13846+4,81636+0,09685+0,16408+0,47636</t>
  </si>
  <si>
    <t>711111001RZ1</t>
  </si>
  <si>
    <t>Izolace proti vlhkosti vodor. nátěr ALP za studena, 1x nátěr - včetně dodávky penetračního laku ALP</t>
  </si>
  <si>
    <t>(0,86*0,625+1,145*0,755+0,515*0,86+0,865*0,86+1,145*0,75)</t>
  </si>
  <si>
    <t>711141559RY2</t>
  </si>
  <si>
    <t>Izolace proti vlhk. vodorovná pásy přitavením, 1 vrstva - vč. modif. asf. pás se skelnou vložkou</t>
  </si>
  <si>
    <t>(0,86*0,625+1,145*0,755+0,515*0,86+0,865*0,86+1,145*0,75)*1,5</t>
  </si>
  <si>
    <t>711774202R00</t>
  </si>
  <si>
    <t>Napojení na stávající HI</t>
  </si>
  <si>
    <t>2*(0,86+0,625+1,145+0,755+0,515+0,86+0,865+0,86+1,145+0,75)</t>
  </si>
  <si>
    <t>711747288R00</t>
  </si>
  <si>
    <t>Opracování prostupů, příruba, tmel, D do 200 mm</t>
  </si>
  <si>
    <t>cca:5</t>
  </si>
  <si>
    <t>711212000R00</t>
  </si>
  <si>
    <t>Penetrace podkladu pod hydroizolační nátěr,vč.dod.</t>
  </si>
  <si>
    <t>1S.0.11b:1*1+2,4*1*2</t>
  </si>
  <si>
    <t>711212002RT3</t>
  </si>
  <si>
    <t>Stěrka hydroizolační těsnicí hmotou, proti vlhkosti</t>
  </si>
  <si>
    <t>711212601RT1</t>
  </si>
  <si>
    <t>Těsnicí pás do spoje podlaha - stěna</t>
  </si>
  <si>
    <t>1S.0.11b:1+1+2,4</t>
  </si>
  <si>
    <t>998711101R00</t>
  </si>
  <si>
    <t>Přesun hmot pro izolace proti vodě, výšky do 6 m</t>
  </si>
  <si>
    <t>713131130R00</t>
  </si>
  <si>
    <t>Montáž tepelné izolace stěn vložením do nosné rámové konstrukce</t>
  </si>
  <si>
    <t>3,45*6,2</t>
  </si>
  <si>
    <t>631530505R</t>
  </si>
  <si>
    <t>Rohož ze skelné vlny akustické tl. 80 mm</t>
  </si>
  <si>
    <t>POL3_0</t>
  </si>
  <si>
    <t>3,45*6,2*1,1</t>
  </si>
  <si>
    <t>998713101R00</t>
  </si>
  <si>
    <t>Přesun hmot pro izolace tepelné, výšky do 6 m</t>
  </si>
  <si>
    <t>730-1</t>
  </si>
  <si>
    <t>Demontáž a likvidace otopného tělesa vč. potrubí, a zaslepení odbočky</t>
  </si>
  <si>
    <t>730-2</t>
  </si>
  <si>
    <t>Posun otopného tělesa vč. potrubí</t>
  </si>
  <si>
    <t>342264051RT1</t>
  </si>
  <si>
    <t>Podhled sádrokartonový na zavěšenou ocel. konstr., desky standard tl. 12,5 mm, bez izolace</t>
  </si>
  <si>
    <t>(0,8+0,3)*(3,45+3,3+4,4)</t>
  </si>
  <si>
    <t>4,1+1,59</t>
  </si>
  <si>
    <t>342264051RT3</t>
  </si>
  <si>
    <t>Podhled sádrokartonový na zavěšenou ocel. konstr., desky standard impreg. tl. 12,5 mm, bez izolace</t>
  </si>
  <si>
    <t>3,23</t>
  </si>
  <si>
    <t>342264098RT1</t>
  </si>
  <si>
    <t>Příplatek k podhledu sádrokart. za plochu do 10 m2</t>
  </si>
  <si>
    <t>(0,8+0,3)*(3,45+3,3+4,4)+(0,35+0,3)*4,175</t>
  </si>
  <si>
    <t>4,1+1,59+3,23</t>
  </si>
  <si>
    <t>342263310RT2</t>
  </si>
  <si>
    <t>Úprava sádrokartonové příčky pro osazení umývadla</t>
  </si>
  <si>
    <t>342263320RT1</t>
  </si>
  <si>
    <t>Úprava sádrokartonové příčky pro osazení WC</t>
  </si>
  <si>
    <t>342263360RT1</t>
  </si>
  <si>
    <t>Úprava sádrokartonové příčky pro osazení baterie</t>
  </si>
  <si>
    <t>9</t>
  </si>
  <si>
    <t>342261211RS2</t>
  </si>
  <si>
    <t>Příčka sádrokarton. ocel.kce, 2x oplášť. tl.100 mm, desky protipožární tl. 12,5 mm, minerál tl. 4 cm</t>
  </si>
  <si>
    <t>3,45*8,4</t>
  </si>
  <si>
    <t>342261213RT2</t>
  </si>
  <si>
    <t>Příčka sádrokarton. ocel.kce, 2x oplášť. tl.150 mm, desky protipožární tl. 12,5 mm, minerál tl. 4 cm</t>
  </si>
  <si>
    <t>3,45*(6,3+0,925+2,15+6,2+4,55+4,4*2+4,175+3,54+2,4)</t>
  </si>
  <si>
    <t>impregn.:-3,45*(1,85+3,25)</t>
  </si>
  <si>
    <t>342261213RT4</t>
  </si>
  <si>
    <t>Příčka sádrokarton. ocel.kce, 2x oplášť. tl.150 mm, desky požár.impreg. tl. 12,5 mm, minerál tl. 4 cm</t>
  </si>
  <si>
    <t>3,45*(1,85+3,25)</t>
  </si>
  <si>
    <t>342262112RS4</t>
  </si>
  <si>
    <t>Příčka sádrokart. dvoj. oc. kce, 2x opl. tl.205 mm, desky požár. impreg.tl.12,5 mm, minerál tl. 2x6 cm</t>
  </si>
  <si>
    <t>3,45*(1+1,85)</t>
  </si>
  <si>
    <t>342266111RX6</t>
  </si>
  <si>
    <t>Obklad stěn sádrokartonem na ocelovou konstrukci, desky protipožární tl.2x12,5 mm, minerál tl. 4 cm</t>
  </si>
  <si>
    <t>3,45*(6,2+0,65+3,45+4,5)</t>
  </si>
  <si>
    <t>342266111RW6</t>
  </si>
  <si>
    <t>Obklad stěn sádrokartonem na ocelovou konstrukci, desky požár. impreg. tl. 12,5 mm, minerál tl. 4 cm</t>
  </si>
  <si>
    <t>3,45*1,9</t>
  </si>
  <si>
    <t>763-1</t>
  </si>
  <si>
    <t>Zesílení SDK pro kuch. linku</t>
  </si>
  <si>
    <t>3,45+4,5+2,3</t>
  </si>
  <si>
    <t>342263410R00</t>
  </si>
  <si>
    <t>Osazení revizních dvířek do SDK příček, do 0,25 m2</t>
  </si>
  <si>
    <t>Z7:2</t>
  </si>
  <si>
    <t>553476590R</t>
  </si>
  <si>
    <t>Dvířka revizní do SDK 200 x 200 mm, tl. 12,5 mm, suché prostředí</t>
  </si>
  <si>
    <t>767586201RT1</t>
  </si>
  <si>
    <t>Podhled minerální, hrana Board, 600x600mm, kazety tl. 15 mm</t>
  </si>
  <si>
    <t>1S.0.4c:22,02</t>
  </si>
  <si>
    <t>(23,19+21,33+17,89+12,96)-0,8*(3,45+3,3+4,4)</t>
  </si>
  <si>
    <t>763-2</t>
  </si>
  <si>
    <t>Napojení SDK podhledu na kazetový podhled</t>
  </si>
  <si>
    <t>50</t>
  </si>
  <si>
    <t>998763101R00</t>
  </si>
  <si>
    <t>Přesun hmot pro sádrokartony, výšky do 6 m</t>
  </si>
  <si>
    <t>766661122R00</t>
  </si>
  <si>
    <t>Montáž dveří do zárubně,otevíravých 1kř.</t>
  </si>
  <si>
    <t>766661132R00</t>
  </si>
  <si>
    <t>Montáž dveří do zárubně,otevíravých 2kř.do 1,45 m</t>
  </si>
  <si>
    <t>766670021R00</t>
  </si>
  <si>
    <t>Montáž kliky a štítku</t>
  </si>
  <si>
    <t>T1</t>
  </si>
  <si>
    <t>Vnitřní dveře plné, 700x1970mm, vč. kování, dle PD</t>
  </si>
  <si>
    <t>T2</t>
  </si>
  <si>
    <t>Vnitřní dveře plné, 800x1970mm, vč. kování, dle PD</t>
  </si>
  <si>
    <t>T3</t>
  </si>
  <si>
    <t>T4</t>
  </si>
  <si>
    <t>T5</t>
  </si>
  <si>
    <t>T6</t>
  </si>
  <si>
    <t>Vnitřní dveře plné, 1000x1970mm, vč. kování, dle PD</t>
  </si>
  <si>
    <t>T7</t>
  </si>
  <si>
    <t>T8</t>
  </si>
  <si>
    <t>Vnitřní dveře plné, 1450x1970mm, vč. kování, dvojkřídlé, dle PD</t>
  </si>
  <si>
    <t>T9</t>
  </si>
  <si>
    <t>Pracovní linka s vestavěným umyvadlem a dřezem, vč. montáže, dle PD</t>
  </si>
  <si>
    <t>T10</t>
  </si>
  <si>
    <t>Pracovní linka s vestavěným dřezem, vč. montáže, dle PD</t>
  </si>
  <si>
    <t>T11</t>
  </si>
  <si>
    <t>998766101R00</t>
  </si>
  <si>
    <t>Přesun hmot pro truhlářské konstr., výšky do 6 m</t>
  </si>
  <si>
    <t>Z1</t>
  </si>
  <si>
    <t>Jednokřídlé dveře, protipožární EI30/DP1 - C, pozink, vč. kování, nátěr reaktivní barvou, dle PD</t>
  </si>
  <si>
    <t>Z2</t>
  </si>
  <si>
    <t>Z3</t>
  </si>
  <si>
    <t>Dvojkřídlé dveře, protipožární EI30/DP1 - C, pozink, vč. kování, nátěr reaktivní barvou, dle PD</t>
  </si>
  <si>
    <t>Z4</t>
  </si>
  <si>
    <t>Vnější horizontální el. žaluzie Al, krycí plech, 2400x1450mm, dle PD</t>
  </si>
  <si>
    <t>Z5</t>
  </si>
  <si>
    <t>Okno čiré, 2500x830mm, čiré, dle PD</t>
  </si>
  <si>
    <t>Z6</t>
  </si>
  <si>
    <t>Okno čiré, 1100x830mm, čiré, dle PD</t>
  </si>
  <si>
    <t>Z8</t>
  </si>
  <si>
    <t>Dveřní práz z nerezového plechu, dl. 1000mm, vč. podtmelení, dle PD</t>
  </si>
  <si>
    <t>Z9</t>
  </si>
  <si>
    <t>Ochranný roh zdiva, hliníkový bílý, 1500x40mm, dle PD</t>
  </si>
  <si>
    <t>Z10</t>
  </si>
  <si>
    <t>Zrcadlo 400x400 v nerezovém rámu, kartáž, vč. montáže, dle PD</t>
  </si>
  <si>
    <t>Z11</t>
  </si>
  <si>
    <t>Madlo opěrné na WC pro imobilní, kart. nerez, vč. montáže, dle PD</t>
  </si>
  <si>
    <t>Z12</t>
  </si>
  <si>
    <t>Sada madel na WC pro imobilní, kart. nerez, vč. montáže, dle PD</t>
  </si>
  <si>
    <t>sestav</t>
  </si>
  <si>
    <t>Z13</t>
  </si>
  <si>
    <t>Zrcadlo 600x800 vlepené mezi obklad, vč. montáže, dle PD</t>
  </si>
  <si>
    <t>Z14</t>
  </si>
  <si>
    <t>Mřížka fasádní kovová, vypalovaný lak, 200x200mm, vč. montáže, dle PD</t>
  </si>
  <si>
    <t>Z15</t>
  </si>
  <si>
    <t>Požární okno Al 2400x1450mm, EW15/DP1, vč.parapetů, vč. montáže, dle PD</t>
  </si>
  <si>
    <t>771101210R00</t>
  </si>
  <si>
    <t>Penetrace podkladu pod dlažby</t>
  </si>
  <si>
    <t>771475014R00</t>
  </si>
  <si>
    <t>Obklad soklíků keram.rovných, tmel,výška 10 cm</t>
  </si>
  <si>
    <t>1S.0.4b:2*(17,925+2,25+0,15-1,45+0,15*5)</t>
  </si>
  <si>
    <t>1S.0.11c:2*(1,3+2,4)-0,8</t>
  </si>
  <si>
    <t>771479001R00</t>
  </si>
  <si>
    <t>Řezání dlaždic keramických pro soklíky</t>
  </si>
  <si>
    <t>771575014RAJ</t>
  </si>
  <si>
    <t>Dlažba do tmele 30 x 30 cm, dlažba ve specifikaci</t>
  </si>
  <si>
    <t>597623141R</t>
  </si>
  <si>
    <t>Dlaždice 300 x 300 mm</t>
  </si>
  <si>
    <t>(42,76+45,85/10)*1,1</t>
  </si>
  <si>
    <t>771578011R00</t>
  </si>
  <si>
    <t>Spára podlaha - stěna, silikonem</t>
  </si>
  <si>
    <t>sokl:45,85*2</t>
  </si>
  <si>
    <t>771577133R00</t>
  </si>
  <si>
    <t>Lišta nerezová přechodová, stejná výška dlaždic</t>
  </si>
  <si>
    <t>dveře:1,45*2+0,8</t>
  </si>
  <si>
    <t>998771101R00</t>
  </si>
  <si>
    <t>Přesun hmot pro podlahy z dlaždic, výšky do 6 m</t>
  </si>
  <si>
    <t>632415106RT3</t>
  </si>
  <si>
    <t>Potěr samonivelační ručně, pod PVC krytinu</t>
  </si>
  <si>
    <t>(22,02+4,1+1,59+23,19+21,33+17,89+12,96+3,23)</t>
  </si>
  <si>
    <t>776520010RAI</t>
  </si>
  <si>
    <t>Podlaha povlaková z PVC pásů, soklík, pouze položení, podlahovina ve specifikaci</t>
  </si>
  <si>
    <t>28412325R</t>
  </si>
  <si>
    <t>Podlahovina tl. 2 mm, dle PD</t>
  </si>
  <si>
    <t>(22,02+4,1+1,59+23,19+21,33+17,89+12,96)*1,2</t>
  </si>
  <si>
    <t>28412326R</t>
  </si>
  <si>
    <t>Podlahovina tl. 2 mm, protiskluz, dle PD</t>
  </si>
  <si>
    <t>3,23*1,5</t>
  </si>
  <si>
    <t>775413040R00</t>
  </si>
  <si>
    <t>Montáž podlahové lišty lepením</t>
  </si>
  <si>
    <t>2*(6,2*2+3,45+4,5+4,4+4,065+3,1+4,175+1,7+1,9)</t>
  </si>
  <si>
    <t>2*(2,15+1,85+1+1,475+9,525+3,15+0,3*5)</t>
  </si>
  <si>
    <t>-(1*7+0,8*8+0,7*2)</t>
  </si>
  <si>
    <t>283424021R</t>
  </si>
  <si>
    <t>Lišta podlahová fabion pod PVC</t>
  </si>
  <si>
    <t>105,88*1,1</t>
  </si>
  <si>
    <t>Spára podlaha - stěna, silikonem, akryl nebo omítkovina</t>
  </si>
  <si>
    <t>105,88</t>
  </si>
  <si>
    <t>998776101R00</t>
  </si>
  <si>
    <t>Přesun hmot pro podlahy povlakové, výšky do 6 m</t>
  </si>
  <si>
    <t>781101210R00</t>
  </si>
  <si>
    <t>Penetrace podkladu pod obklady</t>
  </si>
  <si>
    <t>1S.0.11b:2,4*2*(1,7+1,9)-0,7*1,97</t>
  </si>
  <si>
    <t>1S.0.6:2,4*2*(1,85+2,15)-0,8*1,97</t>
  </si>
  <si>
    <t>1S.0.7:2,4*2*(1,0+1,475)-0,8*1,97</t>
  </si>
  <si>
    <t>za linkou:(1,5*(2,1+0,6*3+3+2,3)+2,1*(1,2+0,6))</t>
  </si>
  <si>
    <t>781415014RAI</t>
  </si>
  <si>
    <t>Obklad pórovinový do tmele 40 x 20 cm, obklad ve specifikaci</t>
  </si>
  <si>
    <t>za linkou:1,5*(2,1+0,6*3+3+2,3)</t>
  </si>
  <si>
    <t>597813730R</t>
  </si>
  <si>
    <t>Obkládačka 200 x 400 mm</t>
  </si>
  <si>
    <t>57,629*1,1</t>
  </si>
  <si>
    <t>781111116R00</t>
  </si>
  <si>
    <t>Otvor v obkladačce diamant.korunkou prům.do 90 mm</t>
  </si>
  <si>
    <t>cca:50</t>
  </si>
  <si>
    <t>998781101R00</t>
  </si>
  <si>
    <t>Přesun hmot pro obklady keramické, výšky do 6 m</t>
  </si>
  <si>
    <t>783-1</t>
  </si>
  <si>
    <t>Nátěr ocelových pozinkovaných zárubní</t>
  </si>
  <si>
    <t>784161101R00</t>
  </si>
  <si>
    <t>Penetrace podkladu nátěrem, A - Grund 1x</t>
  </si>
  <si>
    <t>1S.0.12 - stěna:3,32*8,5</t>
  </si>
  <si>
    <t>1S.0.4c:2,7*2*(9,525+3,15+0,3)</t>
  </si>
  <si>
    <t>1S.0.6:0,3*2*(1,85+2,15)</t>
  </si>
  <si>
    <t>1S.0.7:0,3*2*(1,0+1,475)</t>
  </si>
  <si>
    <t>1S.0.8:2,8*2*(4,5+6,2+0,3)+(0,3*2+0,8)*(0,3*2+3,3)</t>
  </si>
  <si>
    <t>1S.0.9:2,8*2*(3,45+6,2+0,15)+(0,3*2+0,8)*(0,3*2+3,45)</t>
  </si>
  <si>
    <t>1S.0.10:2,8*2*(4,4+4,065+0,15)+(0,3*2+0,8)*(0,3*2+4,4)</t>
  </si>
  <si>
    <t>1S.0.11a:2,8*2*(3,1+4,175+0,3)</t>
  </si>
  <si>
    <t>za linkou:-(1,5*(2,1+0,6*3+3+2,3)+2,1*(1,2+0,6))</t>
  </si>
  <si>
    <t>1S.0.11b:0,3*2*(1,7+1,9)+3,23</t>
  </si>
  <si>
    <t>1S.0.11c:3,45*2*(1,275+2,4)+2,91</t>
  </si>
  <si>
    <t>784165512R00</t>
  </si>
  <si>
    <t>Malba tekutá Klasik, bílá, bez penetrace, 2 x</t>
  </si>
  <si>
    <t>1S.0.4b - strop:39,85</t>
  </si>
  <si>
    <t>784124112R00</t>
  </si>
  <si>
    <t>Malba latexová, omyvatelná, bílá, bez penetr. 2 x</t>
  </si>
  <si>
    <t>790-1</t>
  </si>
  <si>
    <t>Přenosný hasící přístroj s hasící schopností 21A, vč. montáže</t>
  </si>
  <si>
    <t/>
  </si>
  <si>
    <t>SUM</t>
  </si>
  <si>
    <t>Poznámky uchazeče k zadání</t>
  </si>
  <si>
    <t>POPUZIV</t>
  </si>
  <si>
    <t>END</t>
  </si>
  <si>
    <t>Vzduchotechnika</t>
  </si>
  <si>
    <t xml:space="preserve">Ventilátor potrubní, radiální, 65 W/230V/0,3 </t>
  </si>
  <si>
    <t>ks</t>
  </si>
  <si>
    <t xml:space="preserve">Tlumič kruhový pr. 200/900 </t>
  </si>
  <si>
    <t xml:space="preserve">Ohřívač elektrický pr. 200, 5 kW, 12,5A </t>
  </si>
  <si>
    <t xml:space="preserve">Regulátor elektrického ohřívače na teplotu vzduchu, potrubní čidlo </t>
  </si>
  <si>
    <t>Klapka zpětná mechanická těsná</t>
  </si>
  <si>
    <t>Protidešťová žaluzie pozink</t>
  </si>
  <si>
    <t>Ventilátor talířový odvodní</t>
  </si>
  <si>
    <t>Ventilátor talířový přívodní</t>
  </si>
  <si>
    <t>Filtr potrubní kapsový</t>
  </si>
  <si>
    <t>Výfukový kus s mřížkou</t>
  </si>
  <si>
    <t>Požární izolace potrubí EI 60/DP1</t>
  </si>
  <si>
    <t>Tepelná izolace kaučuková přívodního potrubí</t>
  </si>
  <si>
    <t>Potrubí spiro pozink</t>
  </si>
  <si>
    <t>bm</t>
  </si>
  <si>
    <t>790-2</t>
  </si>
  <si>
    <t>790-3</t>
  </si>
  <si>
    <t>790-4</t>
  </si>
  <si>
    <t>790-5</t>
  </si>
  <si>
    <t>790-6</t>
  </si>
  <si>
    <t>790-7</t>
  </si>
  <si>
    <t>790-8</t>
  </si>
  <si>
    <t>790-9</t>
  </si>
  <si>
    <t>790-10</t>
  </si>
  <si>
    <t>790-11</t>
  </si>
  <si>
    <t>790-12</t>
  </si>
  <si>
    <t>790-13</t>
  </si>
  <si>
    <t>790-14</t>
  </si>
  <si>
    <t>Tišnov - stavební úpravy ambulance - CSS - objekt A2 - VRN</t>
  </si>
  <si>
    <t>VN1</t>
  </si>
  <si>
    <t>VN2</t>
  </si>
  <si>
    <t>Inženýrská činnost</t>
  </si>
  <si>
    <t>VN3</t>
  </si>
  <si>
    <t>VN4</t>
  </si>
  <si>
    <t>Zařízení staveniště</t>
  </si>
  <si>
    <t>Pasportizace objektu před započetím prací</t>
  </si>
  <si>
    <t>soubor</t>
  </si>
  <si>
    <t>Pasportizace objektu po provedení prací</t>
  </si>
  <si>
    <t>Harmonogram realizace stavby včetně aktualizace</t>
  </si>
  <si>
    <t>Uvedení pozemků a všech povrchů dotčených stavbou do původního stavu, zapravení, úklidy</t>
  </si>
  <si>
    <t>Provoz investora, třetích osob</t>
  </si>
  <si>
    <t>Provedení komplexního vyzkoušení všech systémů a zařízení tvořících předmět plnění vč. stanovení podmínek, za kterých se bude komplexní vyzkoušení provádět, vyhodnocení komplexního vyzkoušení</t>
  </si>
  <si>
    <t>Oplocení zařízení staveniště</t>
  </si>
  <si>
    <t>Kompletační činnost</t>
  </si>
  <si>
    <t>Náklady vzniklé v souvislosti s realizací stavby</t>
  </si>
  <si>
    <t>Úklid v prostorách, ve kterých Zhotovitel prováděl stavební práce či přesun materiálu nebo pracovníků vždy bezprostředně po ukončení pracovní činnosti, a to nejméně v tomto rozsahu: - úklid po bouracích pracích, nadstandartní úklid suchým procesem, nadstandartní úklid mokrým procesem, v úrovni a kvalitě umožňující běžné užívání bez potřeby dalšího úklidu</t>
  </si>
  <si>
    <t>Zaškolení obsluhy budoucího provozovatele</t>
  </si>
  <si>
    <t>Vypracování manipulačních, servisních, provozních řádů, návodů k obsluze, návodů na provoz a údržbu Stavby a dokumentaci údržby</t>
  </si>
  <si>
    <t>Součinnost při kolaudaci při uvedení do užívání</t>
  </si>
  <si>
    <t>Veškeré opatření, práce a dodávky související s bezpečnostními opatřeními na ochranu lidí a majetku (zejména obyvatel CSS, chodců a vozidel v místech dotčených Stavbou</t>
  </si>
  <si>
    <t>Zvláštního užívání komunikací a veřejných prostranství včetně úhrady vyměřených poplatků a nájemného</t>
  </si>
  <si>
    <t>Zmapování stávajících vnitřních rozvodů instalací a provedení všech nezbytných průzkumů pro řádné provádění stavby</t>
  </si>
  <si>
    <t>Bankovní záruka za splnění záručních podmínek</t>
  </si>
  <si>
    <t>Záruční servis díla</t>
  </si>
  <si>
    <t>Dokumentace skutečného provedení</t>
  </si>
  <si>
    <t>Prachotěsné přepážky a uzávěry</t>
  </si>
  <si>
    <t>Kompletační a koordinační činnost zhotovitele</t>
  </si>
  <si>
    <t>Vypracování dílenské dokumentace</t>
  </si>
  <si>
    <t>Fotodokumentace průběhu stavby</t>
  </si>
  <si>
    <t>VN5</t>
  </si>
  <si>
    <t>VN6</t>
  </si>
  <si>
    <t>VN7</t>
  </si>
  <si>
    <t>VN8</t>
  </si>
  <si>
    <t>VN9</t>
  </si>
  <si>
    <t>VN10</t>
  </si>
  <si>
    <t>VN11</t>
  </si>
  <si>
    <t>VN12</t>
  </si>
  <si>
    <t>VN13</t>
  </si>
  <si>
    <t>VN14</t>
  </si>
  <si>
    <t>VN15</t>
  </si>
  <si>
    <t>VN16</t>
  </si>
  <si>
    <t>VN17</t>
  </si>
  <si>
    <t>VN18</t>
  </si>
  <si>
    <t>VN19</t>
  </si>
  <si>
    <t>VN20</t>
  </si>
  <si>
    <t>VN21</t>
  </si>
  <si>
    <t>VN22</t>
  </si>
  <si>
    <t>VN23</t>
  </si>
  <si>
    <t>VN24</t>
  </si>
  <si>
    <t>VN25</t>
  </si>
  <si>
    <t>Ochrana stěn z nárazuvzdorné akrylvinylové pryskyřice 300/2mm, vč. nalepení, dle PD</t>
  </si>
  <si>
    <t>Ochrana rohů z nárazuvzdorné akrylvinylové pryskyřice 50/3mm, vč. montáže, dl. 1,4m, dle PD</t>
  </si>
  <si>
    <t>Město Tišnov</t>
  </si>
  <si>
    <t>00282707</t>
  </si>
  <si>
    <t>nám. Míru 111, 666 19 Tišnov</t>
  </si>
  <si>
    <t>CZ00282707</t>
  </si>
  <si>
    <t>SO 01</t>
  </si>
  <si>
    <t>Vedlejší a ostatní náklady</t>
  </si>
  <si>
    <t>Letní kino Tišnov - demolice</t>
  </si>
  <si>
    <t>Rekapitulace investičních nákladů</t>
  </si>
  <si>
    <t xml:space="preserve">I. Rekapitulace stavby - stavební objekty </t>
  </si>
  <si>
    <t>Cena bez DPH</t>
  </si>
  <si>
    <t>DPH 15%</t>
  </si>
  <si>
    <t>DPH 21%</t>
  </si>
  <si>
    <t>Cena vč. DPH</t>
  </si>
  <si>
    <t>Stavba celkem - stavební náklady celkem</t>
  </si>
  <si>
    <t>II. Rekapitulace stavby - ostatní a vedlejší náklady</t>
  </si>
  <si>
    <t xml:space="preserve">Vedlejší a ostatní náklady </t>
  </si>
  <si>
    <t>Ostatní a vedlejší náklady celkem</t>
  </si>
  <si>
    <t xml:space="preserve">Rekapitulace stavby souhrn </t>
  </si>
  <si>
    <t>Finanční náklady stavby celkem</t>
  </si>
  <si>
    <t>SO 01 Tišnov - stavební úpravy ambulance - CSS - objekt A2</t>
  </si>
  <si>
    <t>D.1.1. Architektonicko-stavební řešení</t>
  </si>
  <si>
    <t>D.1.4.1 Zdravotně technické instalace</t>
  </si>
  <si>
    <t>D.1.4.2 Silnoproudé a slaboproudé elektroinstalace</t>
  </si>
  <si>
    <t>Hodnota A</t>
  </si>
  <si>
    <t>Hodnota B</t>
  </si>
  <si>
    <t>Základní náklady</t>
  </si>
  <si>
    <t>Doprava 3,60%, Přesun 1,00%</t>
  </si>
  <si>
    <t>Montáž - materiál</t>
  </si>
  <si>
    <t>Montáž - práce</t>
  </si>
  <si>
    <t>Mezisoučet 1</t>
  </si>
  <si>
    <t>PPV 1,00% z montáže: materiál + práce</t>
  </si>
  <si>
    <t>PPV 0,00% z nátěrů a zemních prací</t>
  </si>
  <si>
    <t>Mezisoučet 2</t>
  </si>
  <si>
    <t>Dodav. dokumentace 1,00% z mezisoučtu 2</t>
  </si>
  <si>
    <t>Rizika a pojištění 1,00% z mezisoučtu 2</t>
  </si>
  <si>
    <t>Opravy v záruce 0,00% z mezisoučtu 1</t>
  </si>
  <si>
    <t>Základní náklady celkem</t>
  </si>
  <si>
    <t>GZS 3,25% z pravé strany mezisoučtu 2</t>
  </si>
  <si>
    <t>Provozní vlivy 1,00% z pravé strany mezisoučtu 2</t>
  </si>
  <si>
    <t>Vedlejší náklady celkem</t>
  </si>
  <si>
    <t>Náklady celkem</t>
  </si>
  <si>
    <t>Základ a hodnota DPH 21%</t>
  </si>
  <si>
    <t>Náklady celkem s DPH</t>
  </si>
  <si>
    <t>Roční nárůst cen 0,00%</t>
  </si>
  <si>
    <t>Součty odstavců</t>
  </si>
  <si>
    <t>Materiál</t>
  </si>
  <si>
    <t>Dodávky</t>
  </si>
  <si>
    <t>Elektromontáže</t>
  </si>
  <si>
    <t xml:space="preserve">  Úprava stávajícího rozvaděče RB-H</t>
  </si>
  <si>
    <t xml:space="preserve">  Kabely</t>
  </si>
  <si>
    <t xml:space="preserve">  Svítidla</t>
  </si>
  <si>
    <t xml:space="preserve">  Data</t>
  </si>
  <si>
    <t>Mj</t>
  </si>
  <si>
    <t>Počet</t>
  </si>
  <si>
    <t>Materiál celkem</t>
  </si>
  <si>
    <t>Montáž celkem</t>
  </si>
  <si>
    <t>Rozvaděč RA-01 dle TS</t>
  </si>
  <si>
    <t>Rozvaděč RA-02 dle TS</t>
  </si>
  <si>
    <t>Datový rozvaděč RACK dle TS</t>
  </si>
  <si>
    <t>Dodávky - celkem</t>
  </si>
  <si>
    <t>Elektromontážní práce a materiál je nutno překontrolovat</t>
  </si>
  <si>
    <t>dle projektové dokumentace - na případné rozdíly</t>
  </si>
  <si>
    <t>upozornit prostřednictvím žádosti o dodatečné</t>
  </si>
  <si>
    <t>informace k zadávacím podmínkám. Náslené změny</t>
  </si>
  <si>
    <t>výměr v průběhu realizace nebudou akceptovány.</t>
  </si>
  <si>
    <t>Specifikace je provedena v programu Verox 1.9.0.6</t>
  </si>
  <si>
    <t>Úprava stávajícího rozvaděče RB-H</t>
  </si>
  <si>
    <t>DOPLNĚNÍ HLAVNÍHO JISTIČE PŘÍVODU ROZVADĚČE RA</t>
  </si>
  <si>
    <t>LTN-63B-3 Jistič</t>
  </si>
  <si>
    <t>ZÚČTOVACÍ SAZBY MONTÁŽNÍ</t>
  </si>
  <si>
    <t>Úprava 2. pole stávajícího rozvaděče pro osazení nového jističe</t>
  </si>
  <si>
    <t>HODINOVÉ ZŮČTOVACÍ SAZBY</t>
  </si>
  <si>
    <t>Zjištění skutečného stavu zapojení rozvaděče</t>
  </si>
  <si>
    <t>hod</t>
  </si>
  <si>
    <t>Demontáž stávající výzbroje 2. pole rozvaděče</t>
  </si>
  <si>
    <t>TECHNICKÝ MATERIÁL PRO ÚPRAVU ROZVADĚČE</t>
  </si>
  <si>
    <t>potřebný podružný materiál (svorky, popisové štítky, kabelové žlaby, lišty, propojovací dráty, atd....)</t>
  </si>
  <si>
    <t>kpl.</t>
  </si>
  <si>
    <t>DOKUMENTACE A ZKOUŠKY</t>
  </si>
  <si>
    <t>Dodání kompletní dokumentace k rozvaděči včetně všech potřebných zkoušek a osvědčení</t>
  </si>
  <si>
    <t>Úprava stávajícího rozvaděče RB-H - celkem</t>
  </si>
  <si>
    <t>Kabely</t>
  </si>
  <si>
    <t>KABEL SILOVÝ,IZOLACE PVC BEZ VODIČE PE</t>
  </si>
  <si>
    <t>CYKY-O 2x1,5 , pevně</t>
  </si>
  <si>
    <t>Výměra: 15+15</t>
  </si>
  <si>
    <t>CYKY-O 2x2,5 , pevně</t>
  </si>
  <si>
    <t>Výměra: 5+5+5+5+10+15+15+10</t>
  </si>
  <si>
    <t>CYKY-O 4x1,5 , pevně</t>
  </si>
  <si>
    <t>Výměra: 15+5+10</t>
  </si>
  <si>
    <t>CYKY-O 4x2,5 , pevně</t>
  </si>
  <si>
    <t>Výměra: 15</t>
  </si>
  <si>
    <t>KABEL SILOVÝ,IZOLACE PVC S VODIČEM PE</t>
  </si>
  <si>
    <t>CYKY-J 3x2.5 , pevně</t>
  </si>
  <si>
    <t>Výměra: 60+43+41+26+53+31+29+17+45+35+40+50</t>
  </si>
  <si>
    <t>CYKY-J 3x1.5 , pevně</t>
  </si>
  <si>
    <t>Výměra: 83+41+25+36+28+15+5+18+32+35+60+25</t>
  </si>
  <si>
    <t>CYKY-J 5x1.5 , pevně</t>
  </si>
  <si>
    <t>Výměra: 15+35+13+27+55+85+30</t>
  </si>
  <si>
    <t>CYKY-J 4x10 , pevně</t>
  </si>
  <si>
    <t>CYKY-J 4x16 , pevně</t>
  </si>
  <si>
    <t>Výměra: 60</t>
  </si>
  <si>
    <t>KABEL OHEBNÝ,IZOLACE PVC</t>
  </si>
  <si>
    <t>CYSY 4x0,75 , pevně</t>
  </si>
  <si>
    <t>Výměra: 5</t>
  </si>
  <si>
    <t>CYSY 2x0,75 , pevně</t>
  </si>
  <si>
    <t>Výměra: 13+7</t>
  </si>
  <si>
    <t>VODIČ JEDNOŽILOVÝ (CY)</t>
  </si>
  <si>
    <t>H07V-U 4  , pevně</t>
  </si>
  <si>
    <t>Výměra: 15+20+10+5+5+25</t>
  </si>
  <si>
    <t>VODIČ JEDNOŽILOVÝ OHEBNÝ (CYA)</t>
  </si>
  <si>
    <t>H07V-K 16  , pevně</t>
  </si>
  <si>
    <t>Výměra: 30+5+20+5</t>
  </si>
  <si>
    <t>Kabely - celkem</t>
  </si>
  <si>
    <t>Svítidla</t>
  </si>
  <si>
    <t>SVÍTIDLA</t>
  </si>
  <si>
    <t>A1 - LED svítidlo závěsné, 600x600, 27,9W, 3375lm, Ra80, 4000K, včetně závěsných prvků</t>
  </si>
  <si>
    <t>A2 - Vestavné LED svítidlo do podhledu, 600x600, 27,9W, 3375lm, Ra80, 4000K</t>
  </si>
  <si>
    <t>B1 - Vestavné LED svítidlo do podhledu, LED, 40W, 4000lm, Ra90, 4000K</t>
  </si>
  <si>
    <t>C1 - Vestavné kruhové LED svítidlo, 20,1W, 2256lm, Ra80, 4000K</t>
  </si>
  <si>
    <t>N1 - Nouzové LED svítidlo přisazené 1,2W, 360lm, Ra70, 5700K</t>
  </si>
  <si>
    <t>N2 - Nouzové LED svítidlo přisazené 1,2W, 306lm, Ra70, 5700K</t>
  </si>
  <si>
    <t>N3 - Nouzové LED svítidlo přisazené 1,2W, 360lm, Ra70, 5700K</t>
  </si>
  <si>
    <t>N4 - Nouzové LED svítidlo přisazené 3,3W, 297lm, Ra70, 5700K</t>
  </si>
  <si>
    <t>N5 - Nouzové LED svítidlo vestavné 3,3W, 360lm, Ra80, 5700K</t>
  </si>
  <si>
    <t>NP1 - Nouzové LED svítidlo přisazené s piktogramem, 3,3W, 360lm, Ra80, 5700K</t>
  </si>
  <si>
    <t xml:space="preserve"> Luminiscenční piktogram, nalepovací - pro doplnění značení dle požadavků PBŘ (OZO)</t>
  </si>
  <si>
    <t>Recyklační poplatek za svítidla a zdroje</t>
  </si>
  <si>
    <t>Pomocný montážní materiál pro osazení svítidel</t>
  </si>
  <si>
    <t>KOORDINACE POSTUPU PRACÍ</t>
  </si>
  <si>
    <t>Zajištění přítomnosti specialisty na osvětlovací techniku jako konzultanta při realizaci osvětlení</t>
  </si>
  <si>
    <t>Zajištění výpočtu osvětlení pro vybraný typ svítidel, včetně dodání zprávy investorovi.</t>
  </si>
  <si>
    <t>Podrobnější popis svítidel viz. výpočet osvětlení</t>
  </si>
  <si>
    <t>Svítidla - celkem</t>
  </si>
  <si>
    <t>STROJEK SPÍNAČE</t>
  </si>
  <si>
    <t>1-pól.vyp.(1)</t>
  </si>
  <si>
    <t>sériov.přep.(5)</t>
  </si>
  <si>
    <t>střídav.přep.(6)</t>
  </si>
  <si>
    <t>kříž.přep.(7)</t>
  </si>
  <si>
    <t>dvojitý střídavý(6+6)</t>
  </si>
  <si>
    <t>Tlačítko 1/0</t>
  </si>
  <si>
    <t>POŽÁRNÍ HLÁSIČ</t>
  </si>
  <si>
    <t>Autonomní požární hlásič včetně baterie</t>
  </si>
  <si>
    <t>ZÁSUVKA NN</t>
  </si>
  <si>
    <t>Zásuvka jednonásobná s ochranným kolíkem, s clonkami; 2P+PE</t>
  </si>
  <si>
    <t>Zásuvka jednonásobná s ochranným kolíkem, s ochranou před přepětím; 2P+PE</t>
  </si>
  <si>
    <t>SAMOSTATNÝ VÝVOD 230VAC</t>
  </si>
  <si>
    <t>Pro napojení technologie VZT (ventilátory, ohřívač)</t>
  </si>
  <si>
    <t>VZT</t>
  </si>
  <si>
    <t>Technologie pro napojení, zprovoznění a ovládání zařízení VZT (čidla, regulátory otáček, regulátory el. ohřívače, tlakové spínače,...)</t>
  </si>
  <si>
    <t xml:space="preserve">KRYT SPÍNAČE_x000D_
</t>
  </si>
  <si>
    <t>Kryt spínače; 1 páčka</t>
  </si>
  <si>
    <t>Kryt spínače; 2 páčky</t>
  </si>
  <si>
    <t>Data</t>
  </si>
  <si>
    <t>KABEL DATOVÝ</t>
  </si>
  <si>
    <t>UTP cat.6</t>
  </si>
  <si>
    <t>Výměra: 40+65+40+15+25+45+20+60+40</t>
  </si>
  <si>
    <t>TRUBKA OHEBNÁ STŘEDNÍ MECHANICKÁ ODOLNOST</t>
  </si>
  <si>
    <t>d 25  mm, pevně</t>
  </si>
  <si>
    <t>DATOVÉ ZÁSUVKY</t>
  </si>
  <si>
    <t>Zásuvka datová 2xRJ45</t>
  </si>
  <si>
    <t>WIFI ROUTER</t>
  </si>
  <si>
    <t>WIFI router do podhledu s možností napájení PoE</t>
  </si>
  <si>
    <t>SAMOSTATNÝ VÝVOD</t>
  </si>
  <si>
    <t>Příprava samostatného datového vývodu pro napojení čtečky čipů</t>
  </si>
  <si>
    <t>MĚŘENÍ A UVEDENÍ DO PROVOZU</t>
  </si>
  <si>
    <t>Proměření metalického segmentu kategorie 6, včetně měřícího protokolu</t>
  </si>
  <si>
    <t>HODINOVÉ ZÚČTOVACI SAZBY</t>
  </si>
  <si>
    <t>Nastavení switche a wifi routerů a oživení datové sítě</t>
  </si>
  <si>
    <t>ZÚČTOVACÍ SAZBY</t>
  </si>
  <si>
    <t>Příprava pro osazení a napojení antény pro příjem internétového připojení (samotné osazení antény a zavedení datového přívodu do rozvaděče RACK bude v režii pronajímatele a bude provedeno po dohodě a ve spolupráci s poskytovatelem internetových služeb v dané lokalitě)</t>
  </si>
  <si>
    <t>Data - celkem</t>
  </si>
  <si>
    <t>RÁMEČEK PRO PŘÍSTROJE</t>
  </si>
  <si>
    <t>jednoduchý</t>
  </si>
  <si>
    <t>2-násobný</t>
  </si>
  <si>
    <t>3-násobný</t>
  </si>
  <si>
    <t>4-násobný</t>
  </si>
  <si>
    <t>5-násobný</t>
  </si>
  <si>
    <t>SVORKY</t>
  </si>
  <si>
    <t>Svorka bernard včetně CU pásky</t>
  </si>
  <si>
    <t>KRABICE PŘÍSTROJOVÁ POD OMÍTKU</t>
  </si>
  <si>
    <t>KPR68 krabice univerzální</t>
  </si>
  <si>
    <t>Víčko elektroinstalační krabice KPR68</t>
  </si>
  <si>
    <t>SADA PRO NOUZOVOU SIGNALIZACI</t>
  </si>
  <si>
    <t>Sada pro nouzovou signalizaci - modul tlačítka a tahového tlačítka, 2x modul alarmu optický/akustický, modul transformátoru a ovl. tlačítka</t>
  </si>
  <si>
    <t>PŘEPOJOVACÍ KRABICE</t>
  </si>
  <si>
    <t>Přepojovací krabice pro naspojkování stávajících ponechávaných obvodů ze stávajícího rušeného rozvaděče RA-01 osazeného v čekárně do nově osazeného rozvaděče RA-01 na chodbě 1S0.0.4b, kompletní včetně svorek a montážního materiálu, (počet krabic bude určena a upraven na stavbě po zjističení počtu spojkovaných kabelů a možnosti jejich přepojení)</t>
  </si>
  <si>
    <t>MONTÁŽNÍ MATERIÁL</t>
  </si>
  <si>
    <t>HM 8 HMOŽDINKA 8 S VRUTEM</t>
  </si>
  <si>
    <t>SP 280x4,5 Stahovací pásek</t>
  </si>
  <si>
    <t>HN 6X45 HMOŽDINKA NATLOUKACÍ</t>
  </si>
  <si>
    <t>Kabelový držák do podhledu</t>
  </si>
  <si>
    <t>d 20  mm, pevně</t>
  </si>
  <si>
    <t>d 32  mm, pevně</t>
  </si>
  <si>
    <t>d 40  mm, pevně</t>
  </si>
  <si>
    <t>SVORKOVNICE KABICOVÁ</t>
  </si>
  <si>
    <t>5x1-2,5mm2</t>
  </si>
  <si>
    <t>4x1-2,5mm2</t>
  </si>
  <si>
    <t>3x1-2,5mm2</t>
  </si>
  <si>
    <t>2x1-2,5mm2</t>
  </si>
  <si>
    <t>Ukončení vodičů izolovaných s označením a zapojením v rozváděči nebo na přístroji</t>
  </si>
  <si>
    <t xml:space="preserve"> do 2,5 mm2</t>
  </si>
  <si>
    <t xml:space="preserve"> do 16 mm2</t>
  </si>
  <si>
    <t>VYSEKÁNÍ KAPES VE ZDIVU</t>
  </si>
  <si>
    <t>PRO KRABICE</t>
  </si>
  <si>
    <t>100x100x50 mm</t>
  </si>
  <si>
    <t>VYSEKÁNÍ RÝH VE ZDIVU</t>
  </si>
  <si>
    <t>- HLOUBKA 30mm</t>
  </si>
  <si>
    <t xml:space="preserve"> Šíře 30 mm</t>
  </si>
  <si>
    <t xml:space="preserve"> Šíře 70 mm</t>
  </si>
  <si>
    <t>CIHELNEM - HLOUBKA 50mm</t>
  </si>
  <si>
    <t>HRUBÁ VÝPLŇ RÝH MALTOU</t>
  </si>
  <si>
    <t>Jakékoliv šíře</t>
  </si>
  <si>
    <t>Sádra, balení po 30 Kg</t>
  </si>
  <si>
    <t>kg</t>
  </si>
  <si>
    <t>ČISTĚNÍ BUDOV ZAMETÁNÍ, VYSÁVÁNÍ</t>
  </si>
  <si>
    <t>zametání, vysávání</t>
  </si>
  <si>
    <t>LEŠENÍ LEHKÉ PRACOVNÍ O VÝŠCE</t>
  </si>
  <si>
    <t>LEŠEŇOVÉ PODLAHY</t>
  </si>
  <si>
    <t xml:space="preserve"> Do 1.2 m</t>
  </si>
  <si>
    <t>PROTIPOŽÁRNÍ UCPÁVKY</t>
  </si>
  <si>
    <t>Protipožární těsnící hmota EI60</t>
  </si>
  <si>
    <t>Likvidace odpadu</t>
  </si>
  <si>
    <t>Úklid, naložení odpadu na stavbě, odvoz, poplatek za skládku, složení odoadu</t>
  </si>
  <si>
    <t>DROBNÝ NESPECIFIKOVANÝ MONTÁŽNÍ MATERIÁL</t>
  </si>
  <si>
    <t>Šroubky, podložky, ocelové profily, zemnící svorky, hmoždinky, vruty, izolepa a pod......</t>
  </si>
  <si>
    <t>HODINOVÉ ZÚČTOVACÍ SAZBY MONTÁŽNÍ (položku lze čerpat na základě výkazu pouze se souhlasem investora nebo TDI)</t>
  </si>
  <si>
    <t>Montáž (nepředvídatelné práce vzniklé zásahem do objektu při rekonstrukci) - předpoklad ze zkušenosti z odbobných projektů</t>
  </si>
  <si>
    <t>Montáž (nepředvídatelné práce vzniklé na základě klientských změn a požadavků)</t>
  </si>
  <si>
    <t>Úprava rozvaděčů na stavbě na základě požadavků vzniklých z klientských změn</t>
  </si>
  <si>
    <t>Úprava PD na základě klientských změn a požadavků</t>
  </si>
  <si>
    <t>Doložení vzorků koncových prvků elektroinstalace před zahájením instalace pro kontrolu kvality</t>
  </si>
  <si>
    <t>Příprava a zakončení vývodů pro budoucí napojení rolet</t>
  </si>
  <si>
    <t>Přesun a přepojení stávajících vypínačů _x000D_
a zásuvek</t>
  </si>
  <si>
    <t>HODINOVÉ ZÚČTOVACI SAZBY MONTÁŽNÍ</t>
  </si>
  <si>
    <t>Kontrola pracoviště před převzetím stavby</t>
  </si>
  <si>
    <t>Demontáž stávající elektroinstalace a rozvaděčů a kabelových tras</t>
  </si>
  <si>
    <t>Koordinace s interiérem</t>
  </si>
  <si>
    <t>Zabezpečení pracoviště</t>
  </si>
  <si>
    <t>Zaučení obsluhy</t>
  </si>
  <si>
    <t>Příprava pro osazení WIFI routeru</t>
  </si>
  <si>
    <t>Zjištění skutečného stavu a zapojení stávající elektroinstalace</t>
  </si>
  <si>
    <t>Zjištění koncových prvků a obvodů napojených ze stávajícího rozvaděče RA-01 nacházejících se mimo prostory ambulnce a nutných k zachování</t>
  </si>
  <si>
    <t>Úprava zapojení přemístěného rozvaděče RA-01 dle potřeby zachovávaných prvků a obvodů elektroinstalace nacházejících se mimo prostory ambulance (Budou zachovány pouze světelné a zásuvkové obvody stávající elektroinstalace, které se nacházejí mimo prostory ambulance a jsou napojeny ze stávajícího rozvaděče RA-01)</t>
  </si>
  <si>
    <t>HODINOVÉ ZÚČTOVACÍ SAZBY MONTÁŽNÍ (zednická výpomoc)</t>
  </si>
  <si>
    <t>Zednická výpomoc- zapravení drážek a rozvaděčů</t>
  </si>
  <si>
    <t>S investorem o postupu realizace práce a technickém řešení</t>
  </si>
  <si>
    <t>S dodavatelem VZT</t>
  </si>
  <si>
    <t>S dodavatelem ZTI</t>
  </si>
  <si>
    <t>PROVEDENÍ REVIZNÍCH ZKOUŠEK</t>
  </si>
  <si>
    <t>DLE ČSN 331500</t>
  </si>
  <si>
    <t>Revizní technik včetně dodání revizní zprávy</t>
  </si>
  <si>
    <t>Spolupráce s reviz.technikem</t>
  </si>
  <si>
    <t>Projektová upřesnění a nepředvídatelné náklady</t>
  </si>
  <si>
    <t>3% z celkového materiálu a montáže</t>
  </si>
  <si>
    <t>Podružný materiál</t>
  </si>
  <si>
    <t>Elektromontáže - celkem</t>
  </si>
  <si>
    <t>Upozornění:</t>
  </si>
  <si>
    <t>a) veškeré položky na přípomoce,  dopravu, montáž,</t>
  </si>
  <si>
    <t>zpevněné montážní plochy, atd...  zahrnout do jednotlivých</t>
  </si>
  <si>
    <t>jednotkových cen.</t>
  </si>
  <si>
    <t>b) součásti prací jsou veškeré zkoušky, potřebná měření,</t>
  </si>
  <si>
    <t>inspekce, uvedení zařízení do provozu, zaškolení obsluhy,</t>
  </si>
  <si>
    <t>provozní řády, manuály a revize v českém jazyce.</t>
  </si>
  <si>
    <t>Za komplexní vyzkoušení se považuje bezporuchový provoz</t>
  </si>
  <si>
    <t>po dobu minimálně 96 hod.</t>
  </si>
  <si>
    <t>c) součástí dodávky je zpracování veškeré dílenské</t>
  </si>
  <si>
    <t>dokumentace a dokumentace skutečného provedení.</t>
  </si>
  <si>
    <t>d) součástí dodávky je kompletní dokladová část díla nutná</t>
  </si>
  <si>
    <t>k získání kolaudačního souhlasu stavby.</t>
  </si>
  <si>
    <t>e) v rozsahu prací zhotovitele jsou rovněž jakékoliv prvky,</t>
  </si>
  <si>
    <t>zařízení, práce a pomocné materiály, neuvedené v tomto</t>
  </si>
  <si>
    <t>soupisu výkonů, které jsou ale nezbytně nutné k dodání,</t>
  </si>
  <si>
    <t>instalaci , dokončení a provozování díla, včetně ztratného a</t>
  </si>
  <si>
    <t>prožezů.</t>
  </si>
  <si>
    <t>f) součástí dodávky jsou veškerá geodetická měření jako</t>
  </si>
  <si>
    <t>například vytyčení konstrukcí, kontrolní měření, zaměření</t>
  </si>
  <si>
    <t>skutečného stavu apod.</t>
  </si>
  <si>
    <t>g) součástí dodávky jsou i náklady na případná  opatření</t>
  </si>
  <si>
    <t>související s ochranou stávajících sítí, komunikací či staveb.</t>
  </si>
  <si>
    <t>h) součástí jednotkových cen jsou i vícenáklady související s</t>
  </si>
  <si>
    <t>výstavbou v zimním období, průběžný úklid staveniště a</t>
  </si>
  <si>
    <t>přilehlých komunikací, likvidaci odpadů, dočasná</t>
  </si>
  <si>
    <t>dopravní omezení atd.</t>
  </si>
  <si>
    <t>i)pokud se v dokumentaci vyskytují obchodní názvy, jedná</t>
  </si>
  <si>
    <t>se pouze o vymezení minimálních požadovaných standardů</t>
  </si>
  <si>
    <t>výrobku, technologie či materiálu a zadavatel připouští</t>
  </si>
  <si>
    <t>použití i jiného, kvalitativně či technologicky obdobného</t>
  </si>
  <si>
    <t>řešení, které splňuje minimální požadavky.</t>
  </si>
  <si>
    <t>Nedílnou součástí výkazu výměr ( slepého rozpočtu ) je</t>
  </si>
  <si>
    <t>projektová dokumentace !!</t>
  </si>
  <si>
    <t>Zpracovatel nabídky  je povinen prověřit specifikace a</t>
  </si>
  <si>
    <t>výměry uvedené ve výkazu výměr.</t>
  </si>
  <si>
    <t>V případě zjištěných rozdílů má na tyto rozdíly upozornit</t>
  </si>
  <si>
    <t>ve lhůtě pro podání nabídek prostřednictvím žádosti o</t>
  </si>
  <si>
    <t>dodatečné informace k zadávacím podmínkám.  Následné</t>
  </si>
  <si>
    <t>změny výměr v průběhu realizace nebudou akceptovány.</t>
  </si>
  <si>
    <t>Zřízení datové přípojky není součástí této dokumentace</t>
  </si>
  <si>
    <t>Hodnota</t>
  </si>
  <si>
    <t>Nadpis rekapitulace</t>
  </si>
  <si>
    <t>Seznam prací a dodávek elektrotechnických zařízení</t>
  </si>
  <si>
    <t>Akce</t>
  </si>
  <si>
    <t>STAVEBNÍ ÚPRAVY AMBULANCE - CSS - OBJEKT A2_x000D_
suterén budovy A2 v areálu Centra sociálních služeb Tišnov, _x000D_
Králova 1742, 666 01 Tišnov</t>
  </si>
  <si>
    <t>Projekt</t>
  </si>
  <si>
    <t>Investor</t>
  </si>
  <si>
    <t>MĚSTO TIŠNOV, Nám. Míru 111, 666 19 Tišnov</t>
  </si>
  <si>
    <t>Z. č.</t>
  </si>
  <si>
    <t>A. č.</t>
  </si>
  <si>
    <t>Smlouva</t>
  </si>
  <si>
    <t>Vypracoval</t>
  </si>
  <si>
    <t>Ing. Jan Dalecký</t>
  </si>
  <si>
    <t>Kontroloval</t>
  </si>
  <si>
    <t>Ing. Jan Procházka</t>
  </si>
  <si>
    <t>Datum</t>
  </si>
  <si>
    <t>15.03.2024</t>
  </si>
  <si>
    <t>Zpracovatel</t>
  </si>
  <si>
    <t>TVAR COM, spol. s r.o.</t>
  </si>
  <si>
    <t>CÚ</t>
  </si>
  <si>
    <t>RTS-21M, 46M</t>
  </si>
  <si>
    <t>Poznámka</t>
  </si>
  <si>
    <t>Uvedené ceny jsou v Kč a nezahrnují DPH, pokud to není uvedeno.</t>
  </si>
  <si>
    <t>Doprava dodávek  (3,6) %</t>
  </si>
  <si>
    <t>3,60</t>
  </si>
  <si>
    <t>Přesun dodávek  (1) %</t>
  </si>
  <si>
    <t>1,00</t>
  </si>
  <si>
    <t>PPV  (1 nebo 6) %</t>
  </si>
  <si>
    <t>PPV zemních prací, nátěrů  (1) %</t>
  </si>
  <si>
    <t>0,00</t>
  </si>
  <si>
    <t>Dodavat. dokumentace  (1 - 1,5) %</t>
  </si>
  <si>
    <t>Rizika a pojištění  (1 - 1,5) %</t>
  </si>
  <si>
    <t>Opravy v záruce  (5 - 7) %</t>
  </si>
  <si>
    <t>GZS  (3,25 nebo 8,4) %</t>
  </si>
  <si>
    <t>3,25</t>
  </si>
  <si>
    <t>Provozní vlivy  %</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</si>
  <si>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</si>
  <si>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</si>
  <si>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</si>
  <si>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</si>
  <si>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</si>
  <si>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</si>
  <si>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</si>
  <si>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</si>
  <si>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</si>
  <si>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</si>
  <si>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Procento PM % 1</t>
  </si>
  <si>
    <t>Procento PM % 2</t>
  </si>
  <si>
    <t>Název stavby:</t>
  </si>
  <si>
    <t>IČ/DIČ:</t>
  </si>
  <si>
    <t>Druh stavby:</t>
  </si>
  <si>
    <t>Lokalita:</t>
  </si>
  <si>
    <t>Začátek výstavby:</t>
  </si>
  <si>
    <t>Konec výstavby:</t>
  </si>
  <si>
    <t>Položek:</t>
  </si>
  <si>
    <t>67</t>
  </si>
  <si>
    <t>JKSO:</t>
  </si>
  <si>
    <t>Zpracoval:</t>
  </si>
  <si>
    <t>Datum:</t>
  </si>
  <si>
    <t>Rozpočtové náklady v Kč</t>
  </si>
  <si>
    <t>A</t>
  </si>
  <si>
    <t>Základní rozpočtové náklady</t>
  </si>
  <si>
    <t>B</t>
  </si>
  <si>
    <t>Doplňkové náklady</t>
  </si>
  <si>
    <t>C</t>
  </si>
  <si>
    <t>Náklady na umístění stavby (NUS)</t>
  </si>
  <si>
    <t>Práce přesčas</t>
  </si>
  <si>
    <t>Bez pevné podl.</t>
  </si>
  <si>
    <t>Mimostav. doprava</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</si>
  <si>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</si>
  <si>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</si>
  <si>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</si>
  <si>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</si>
  <si>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</si>
  <si>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</si>
  <si>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</si>
  <si>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</si>
  <si>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</si>
  <si>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</si>
  <si>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</si>
  <si>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</si>
  <si>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</si>
  <si>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ORN celkem</t>
  </si>
  <si>
    <t>ORN celkem z obj.</t>
  </si>
  <si>
    <t>Základ 0%</t>
  </si>
  <si>
    <t>Základ 15%</t>
  </si>
  <si>
    <t>Celkem bez DPH</t>
  </si>
  <si>
    <t>Základ 21%</t>
  </si>
  <si>
    <t>Celkem včetně DPH</t>
  </si>
  <si>
    <t>Doba výstavby:</t>
  </si>
  <si>
    <t>Zpracováno dne:</t>
  </si>
  <si>
    <t>Č</t>
  </si>
  <si>
    <t>Kód</t>
  </si>
  <si>
    <t>Zkrácený popis</t>
  </si>
  <si>
    <t>Množství</t>
  </si>
  <si>
    <t>Jednotková cena (Kč)</t>
  </si>
  <si>
    <t>Náklady celkem (Kč)</t>
  </si>
  <si>
    <t>GROUPCODE</t>
  </si>
  <si>
    <t>ISWORK</t>
  </si>
  <si>
    <t xml:space="preserve"> </t>
  </si>
  <si>
    <t>61</t>
  </si>
  <si>
    <t>Úprava povrchů vnitřní</t>
  </si>
  <si>
    <t>612100010RAA</t>
  </si>
  <si>
    <t>Hrubá výplň rýh ve stěnách</t>
  </si>
  <si>
    <t>P</t>
  </si>
  <si>
    <t>713551151R00</t>
  </si>
  <si>
    <t>Protipož. desková přepážka EI 60, do 0,1 m2</t>
  </si>
  <si>
    <t>713571113R00</t>
  </si>
  <si>
    <t>Požárně ochranná manžeta hl. 60 mm, EI 90, D 75 mm</t>
  </si>
  <si>
    <t>4</t>
  </si>
  <si>
    <t>713571115RT2</t>
  </si>
  <si>
    <t>Požárně ochranná manžeta hl. 60mm, EI 90, D 110 mm</t>
  </si>
  <si>
    <t>5</t>
  </si>
  <si>
    <t>722181212RT7</t>
  </si>
  <si>
    <t>Izolace návleková tl. stěny 9 mm, vnitřní průměr 22 mm</t>
  </si>
  <si>
    <t>6</t>
  </si>
  <si>
    <t>722181212RT9</t>
  </si>
  <si>
    <t>Izolace návleková tl. stěny 9 mm, vnitřní průměr 28 mm</t>
  </si>
  <si>
    <t>7</t>
  </si>
  <si>
    <t>721</t>
  </si>
  <si>
    <t>Vnitřní kanalizace</t>
  </si>
  <si>
    <t>8</t>
  </si>
  <si>
    <t>721100902R00</t>
  </si>
  <si>
    <t>Oprava - zaslepení potrubí DN 100</t>
  </si>
  <si>
    <t>721140802R00</t>
  </si>
  <si>
    <t>Demontáž potrubí litinového DN 100</t>
  </si>
  <si>
    <t>10</t>
  </si>
  <si>
    <t>721140915R00</t>
  </si>
  <si>
    <t>Oprava-propoj.dosavadního potrubí litinového DN100</t>
  </si>
  <si>
    <t>721140925R00</t>
  </si>
  <si>
    <t>Oprava potrubí litinového, krácení trub DN 100</t>
  </si>
  <si>
    <t>12</t>
  </si>
  <si>
    <t>721140935R00</t>
  </si>
  <si>
    <t>Oprava - přechod z plastových trub na litinu DN100</t>
  </si>
  <si>
    <t>13</t>
  </si>
  <si>
    <t>721176102R00</t>
  </si>
  <si>
    <t>Potrubí HT připojovací D 40 x 1,8 mm</t>
  </si>
  <si>
    <t>14</t>
  </si>
  <si>
    <t>721176103R00</t>
  </si>
  <si>
    <t>Potrubí HT připojovací D 50 x 1,8 mm</t>
  </si>
  <si>
    <t>721176105R00</t>
  </si>
  <si>
    <t>Potrubí HT připojovací D 110 x 2,7 mm</t>
  </si>
  <si>
    <t>16</t>
  </si>
  <si>
    <t>721176115R00</t>
  </si>
  <si>
    <t>Potrubí HT odpadní svislé D 110 x 2,7 mm</t>
  </si>
  <si>
    <t>17</t>
  </si>
  <si>
    <t>721176134R00</t>
  </si>
  <si>
    <t>Potrubí HT svodné (ležaté) zavěšené D 75 x 1,9 mm</t>
  </si>
  <si>
    <t>18</t>
  </si>
  <si>
    <t>721176135R00</t>
  </si>
  <si>
    <t>Potrubí HT svodné (ležaté) zavěšené D 110 x 2,7 mm</t>
  </si>
  <si>
    <t>19</t>
  </si>
  <si>
    <t>721176222R00</t>
  </si>
  <si>
    <t>Potrubí KG svodné (ležaté) v zemi D 110 x 3,2 mm</t>
  </si>
  <si>
    <t>20</t>
  </si>
  <si>
    <t>721194104R00</t>
  </si>
  <si>
    <t>Vyvedení odpadních výpustek D 40 x 1,8</t>
  </si>
  <si>
    <t>721194105R00</t>
  </si>
  <si>
    <t>Vyvedení odpadních výpustek D 50 x 1,8</t>
  </si>
  <si>
    <t>22</t>
  </si>
  <si>
    <t>721194109R00</t>
  </si>
  <si>
    <t>Vyvedení odpadních výpustek D 110 x 2,3</t>
  </si>
  <si>
    <t>23</t>
  </si>
  <si>
    <t>721290111R00</t>
  </si>
  <si>
    <t>Zkouška těsnosti kanalizace</t>
  </si>
  <si>
    <t>24</t>
  </si>
  <si>
    <t>998721101R00</t>
  </si>
  <si>
    <t>Přesun hmot pro vnitřní kanalizaci, výšky do 6 m</t>
  </si>
  <si>
    <t>722</t>
  </si>
  <si>
    <t>Vnitřní vodovod</t>
  </si>
  <si>
    <t>25</t>
  </si>
  <si>
    <t>722131933R00</t>
  </si>
  <si>
    <t>Oprava-propojení dosavadního potrubí závit.</t>
  </si>
  <si>
    <t>26</t>
  </si>
  <si>
    <t>722178113RT2</t>
  </si>
  <si>
    <t>Potrubí vícevrstvé vodovod.IVAR.ALPEX-DUO,D 20x2mm</t>
  </si>
  <si>
    <t>27</t>
  </si>
  <si>
    <t>722178114RT2</t>
  </si>
  <si>
    <t>Potrubí vícevrstvé vodovod.IVAR.ALPEX-DUO,D 26x3mm</t>
  </si>
  <si>
    <t>28</t>
  </si>
  <si>
    <t>722190401R00</t>
  </si>
  <si>
    <t>Vyvedení a upevnění výpustek DN 15</t>
  </si>
  <si>
    <t>29</t>
  </si>
  <si>
    <t>72223501VD</t>
  </si>
  <si>
    <t>Kulový rohový kohout 1/2"x3/8" s filtrem</t>
  </si>
  <si>
    <t>30</t>
  </si>
  <si>
    <t>722280107R00</t>
  </si>
  <si>
    <t>Tlaková zkouška vodovodního potrubí DN 40</t>
  </si>
  <si>
    <t>31</t>
  </si>
  <si>
    <t>722290234R00</t>
  </si>
  <si>
    <t>Proplach a dezinfekce vodovod.potrubí DN 80</t>
  </si>
  <si>
    <t>32</t>
  </si>
  <si>
    <t>998722101R00</t>
  </si>
  <si>
    <t>Přesun hmot pro vnitřní vodovod, výšky do 6 m</t>
  </si>
  <si>
    <t>725</t>
  </si>
  <si>
    <t>Zařizovací předměty</t>
  </si>
  <si>
    <t>33</t>
  </si>
  <si>
    <t>551070101</t>
  </si>
  <si>
    <t>Ovládací tlačítko WC bílé</t>
  </si>
  <si>
    <t>M</t>
  </si>
  <si>
    <t>34</t>
  </si>
  <si>
    <t>551070131</t>
  </si>
  <si>
    <t>Ovládací tlačítko WC ZTP bílé</t>
  </si>
  <si>
    <t>35</t>
  </si>
  <si>
    <t>551070190</t>
  </si>
  <si>
    <t>Oddálené pneumatické splachování ruční bílé</t>
  </si>
  <si>
    <t>36</t>
  </si>
  <si>
    <t>55110060</t>
  </si>
  <si>
    <t>Hadice sanitární (9x13) 30 cm</t>
  </si>
  <si>
    <t>37</t>
  </si>
  <si>
    <t>55144162</t>
  </si>
  <si>
    <t>Sprchová sada</t>
  </si>
  <si>
    <t>38</t>
  </si>
  <si>
    <t>55161596</t>
  </si>
  <si>
    <t>Sifon ke sprchové vaničce průměr 90 mm</t>
  </si>
  <si>
    <t>39</t>
  </si>
  <si>
    <t>55162349</t>
  </si>
  <si>
    <t>Umyvadlový sifon DN40x5/4" pro umyvadlo ZTP</t>
  </si>
  <si>
    <t>55280040</t>
  </si>
  <si>
    <t>Univerzální splachovací nádržka</t>
  </si>
  <si>
    <t>41</t>
  </si>
  <si>
    <t>55428103.A</t>
  </si>
  <si>
    <t>Sprchová zástěna čtvrtkruhová 90x90x185 cm</t>
  </si>
  <si>
    <t>42</t>
  </si>
  <si>
    <t>642938205</t>
  </si>
  <si>
    <t>Vanička sprch. keram. 1/4 kruh 900x900 mm</t>
  </si>
  <si>
    <t>43</t>
  </si>
  <si>
    <t>725014131RT1</t>
  </si>
  <si>
    <t>Klozet závěsný  + sedátko, bílý</t>
  </si>
  <si>
    <t>44</t>
  </si>
  <si>
    <t>725014141R00</t>
  </si>
  <si>
    <t>Klozet závěsný ZTP + sedátko bez poklopu, bílý</t>
  </si>
  <si>
    <t>45</t>
  </si>
  <si>
    <t>725017132R00</t>
  </si>
  <si>
    <t>Umyvadlo na šrouby 55 x 42 cm, bílé</t>
  </si>
  <si>
    <t>46</t>
  </si>
  <si>
    <t>725017153R00</t>
  </si>
  <si>
    <t>Umyvadlo invalidní  64 x 55 cm, bílé</t>
  </si>
  <si>
    <t>47</t>
  </si>
  <si>
    <t>725019101R00</t>
  </si>
  <si>
    <t>Výlevka stojící s plastovou mřížkou</t>
  </si>
  <si>
    <t>48</t>
  </si>
  <si>
    <t>725037155R00</t>
  </si>
  <si>
    <t>Umyvadlo zápustné 45 cm, bílé</t>
  </si>
  <si>
    <t>49</t>
  </si>
  <si>
    <t>725299101R00</t>
  </si>
  <si>
    <t>Montáž ovl.tlačítka</t>
  </si>
  <si>
    <t>725823111RT1</t>
  </si>
  <si>
    <t>Baterie umyvadlová stoján. ruční, bez otvír.odpadu</t>
  </si>
  <si>
    <t>51</t>
  </si>
  <si>
    <t>725823114RT1</t>
  </si>
  <si>
    <t>Baterie dřezová stojánková ruční, bez otvír.odpadu</t>
  </si>
  <si>
    <t>52</t>
  </si>
  <si>
    <t>725825114RT1</t>
  </si>
  <si>
    <t>Baterie dřezová nástěnná ruční, rozteč 150mm, ramínka 300mm</t>
  </si>
  <si>
    <t>53</t>
  </si>
  <si>
    <t>725845111RT1</t>
  </si>
  <si>
    <t>Baterie sprchová nástěnná ruční, bez příslušenství</t>
  </si>
  <si>
    <t>54</t>
  </si>
  <si>
    <t>725849302R00</t>
  </si>
  <si>
    <t>Montáž držáku sprchy</t>
  </si>
  <si>
    <t>55</t>
  </si>
  <si>
    <t>725859102R00</t>
  </si>
  <si>
    <t>Montáž ventilu odpadního do D 50 mm</t>
  </si>
  <si>
    <t>56</t>
  </si>
  <si>
    <t>725860201RT1</t>
  </si>
  <si>
    <t>Sifon dřezový HL100, 6/4 "</t>
  </si>
  <si>
    <t>57</t>
  </si>
  <si>
    <t>725860213R00</t>
  </si>
  <si>
    <t>Sifon umyvadlový, D 32, 40 mm</t>
  </si>
  <si>
    <t>58</t>
  </si>
  <si>
    <t>725860264R00</t>
  </si>
  <si>
    <t>Výpusť umyvadl. s uzávěrem táhlo-plast</t>
  </si>
  <si>
    <t>59</t>
  </si>
  <si>
    <t>726211321R00</t>
  </si>
  <si>
    <t>Modul-WC, UP320, h 112 cm</t>
  </si>
  <si>
    <t>60</t>
  </si>
  <si>
    <t>726211331R00</t>
  </si>
  <si>
    <t>Modul-WC, UP320, ZTP, h 112 cm</t>
  </si>
  <si>
    <t>998725101R00</t>
  </si>
  <si>
    <t>Přesun hmot pro zařizovací předměty, výšky do 6 m</t>
  </si>
  <si>
    <t>Prorážení otvorů a ostatní bourací práce</t>
  </si>
  <si>
    <t>62</t>
  </si>
  <si>
    <t>974031144R00</t>
  </si>
  <si>
    <t>Vysekání rýh ve zdi cihelné 7 x 15 cm</t>
  </si>
  <si>
    <t>S</t>
  </si>
  <si>
    <t>Přesuny sutí</t>
  </si>
  <si>
    <t>979012112R00</t>
  </si>
  <si>
    <t>Svislá doprava suti na výšku do 3,5 m</t>
  </si>
  <si>
    <t>65</t>
  </si>
  <si>
    <t>66</t>
  </si>
  <si>
    <t>979083117R00</t>
  </si>
  <si>
    <t>Vodorovné přemístění suti na skládku do 6000 m</t>
  </si>
  <si>
    <t>979990001R00</t>
  </si>
  <si>
    <t>Poplatek za skládku stavební suti</t>
  </si>
  <si>
    <t>Celkem:</t>
  </si>
  <si>
    <t xml:space="preserve">D.1.1. ASŘ - Položkový rozpočet </t>
  </si>
  <si>
    <t>D.1.4.1. ZTI - Krycí list</t>
  </si>
  <si>
    <t>D.1.1. ASŘ - Krycí list</t>
  </si>
  <si>
    <t>D.1.4.1. ZTI - Položkový rozpočet</t>
  </si>
  <si>
    <t>D.1.4.2. ELE+SLP - Krycí list</t>
  </si>
  <si>
    <t>D.1.4.2. ELE+SLP - Parametry</t>
  </si>
  <si>
    <t>D.1.4.2. ELE+SLP - Položkový rozpočet</t>
  </si>
  <si>
    <t>Krycí list stavby</t>
  </si>
  <si>
    <t>VRN - Položkový rozpočet</t>
  </si>
  <si>
    <t>STAVEBNÍ ÚPRAVY AMBULANCE - CSS - OBJEKT A2</t>
  </si>
  <si>
    <t> </t>
  </si>
  <si>
    <t>suterén budovy A2 v areálu Centra sociálních služeb Tišnov</t>
  </si>
  <si>
    <t>08.05.2024</t>
  </si>
  <si>
    <t>ZTI</t>
  </si>
  <si>
    <t>Laboratorní rozbor vody - v rozsahu kráceného rozboru podle přílohy č. 5 k vyhlášce MZ č. 252/2004 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</si>
</sst>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 &quot;Kč&quot;"/>
  </numFmts>
  <fonts count="45"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10"/>
      <name val="Arial"/>
      <family val="2"/>
      <charset val="238"/>
    </font>
    <font>
      <b/>
      <sz val="11"/>
      <name val="Arial"/>
      <family val="2"/>
      <charset val="238"/>
    </font>
    <font>
      <sz val="11"/>
      <name val="Arial"/>
      <family val="2"/>
      <charset val="238"/>
    </font>
    <font>
      <sz val="10"/>
      <color rgb="FFFF0000"/>
      <name val="Arial"/>
      <family val="2"/>
      <charset val="238"/>
    </font>
    <font>
      <sz val="10"/>
      <color indexed="43"/>
      <name val="Arial"/>
      <family val="2"/>
      <charset val="238"/>
    </font>
    <font>
      <sz val="10"/>
      <color theme="0"/>
      <name val="Arial"/>
      <family val="2"/>
      <charset val="238"/>
    </font>
    <font>
      <b/>
      <sz val="12"/>
      <name val="Arial"/>
      <family val="2"/>
      <charset val="238"/>
    </font>
    <font>
      <sz val="12"/>
      <name val="Arial"/>
      <family val="2"/>
      <charset val="238"/>
    </font>
    <font>
      <sz val="9"/>
      <color rgb="FF000000"/>
      <name val="Arial"/>
      <family val="2"/>
      <charset val="238"/>
    </font>
    <font>
      <b/>
      <sz val="10"/>
      <color rgb="FF000000"/>
      <name val="Arial"/>
      <family val="2"/>
      <charset val="238"/>
    </font>
    <font>
      <b/>
      <sz val="9"/>
      <color rgb="FF000000"/>
      <name val="Arial"/>
      <family val="2"/>
      <charset val="238"/>
    </font>
    <font>
      <b/>
      <sz val="11"/>
      <color rgb="FF000000"/>
      <name val="Arial"/>
      <family val="2"/>
      <charset val="238"/>
    </font>
    <font>
      <i/>
      <sz val="10"/>
      <color rgb="FF000000"/>
      <name val="Arial"/>
      <family val="2"/>
      <charset val="238"/>
    </font>
    <font>
      <sz val="10"/>
      <name val="Arial"/>
    </font>
    <font>
      <sz val="10"/>
      <color indexed="8"/>
      <name val="Arial"/>
      <charset val="238"/>
    </font>
    <font>
      <b/>
      <sz val="10"/>
      <color indexed="8"/>
      <name val="Arial"/>
      <charset val="238"/>
    </font>
    <font>
      <b/>
      <sz val="18"/>
      <color indexed="8"/>
      <name val="Arial"/>
      <charset val="238"/>
    </font>
    <font>
      <b/>
      <sz val="20"/>
      <color indexed="8"/>
      <name val="Arial"/>
      <charset val="238"/>
    </font>
    <font>
      <b/>
      <sz val="11"/>
      <color indexed="8"/>
      <name val="Arial"/>
      <charset val="238"/>
    </font>
    <font>
      <b/>
      <sz val="12"/>
      <color indexed="8"/>
      <name val="Arial"/>
      <charset val="238"/>
    </font>
    <font>
      <sz val="12"/>
      <color indexed="8"/>
      <name val="Arial"/>
      <charset val="238"/>
    </font>
    <font>
      <b/>
      <sz val="14"/>
      <name val="Arial"/>
      <family val="2"/>
      <charset val="238"/>
    </font>
    <font>
      <b/>
      <sz val="14"/>
      <name val="Arial CE"/>
      <charset val="238"/>
    </font>
    <font>
      <sz val="14"/>
      <name val="Arial CE"/>
      <charset val="238"/>
    </font>
    <font>
      <b/>
      <sz val="10"/>
      <name val="Arial"/>
      <family val="2"/>
      <charset val="238"/>
    </font>
  </fonts>
  <fills count="1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FFFFFF"/>
        <bgColor indexed="64"/>
      </patternFill>
    </fill>
    <fill>
      <patternFill patternType="solid">
        <fgColor theme="0" tint="-0.249977111117893"/>
        <bgColor indexed="64"/>
      </patternFill>
    </fill>
    <fill>
      <patternFill patternType="solid">
        <fgColor rgb="FFF0F0F0"/>
        <bgColor indexed="64"/>
      </patternFill>
    </fill>
    <fill>
      <patternFill patternType="solid">
        <fgColor rgb="FFE0FEE0"/>
        <bgColor indexed="64"/>
      </patternFill>
    </fill>
    <fill>
      <patternFill patternType="solid">
        <fgColor rgb="FFFFEAFF"/>
        <bgColor indexed="64"/>
      </patternFill>
    </fill>
    <fill>
      <patternFill patternType="solid">
        <fgColor rgb="FFBFEBFF"/>
        <bgColor indexed="64"/>
      </patternFill>
    </fill>
    <fill>
      <patternFill patternType="solid">
        <fgColor rgb="FFC0FFFF"/>
        <bgColor indexed="64"/>
      </patternFill>
    </fill>
    <fill>
      <patternFill patternType="solid">
        <fgColor rgb="FFFFFFE0"/>
        <bgColor indexed="64"/>
      </patternFill>
    </fill>
    <fill>
      <patternFill patternType="solid">
        <fgColor indexed="22"/>
        <bgColor indexed="9"/>
      </patternFill>
    </fill>
    <fill>
      <patternFill patternType="solid">
        <fgColor indexed="8"/>
        <bgColor indexed="9"/>
      </patternFill>
    </fill>
    <fill>
      <patternFill patternType="solid">
        <fgColor indexed="57"/>
        <bgColor indexed="9"/>
      </patternFill>
    </fill>
  </fills>
  <borders count="7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rgb="FFC0C0C0"/>
      </left>
      <right style="thin">
        <color rgb="FFC0C0C0"/>
      </right>
      <top/>
      <bottom style="thin">
        <color rgb="FFC0C0C0"/>
      </bottom>
      <diagonal/>
    </border>
  </borders>
  <cellStyleXfs count="5">
    <xf numFmtId="0" fontId="0" fillId="0" borderId="0"/>
    <xf numFmtId="0" fontId="2" fillId="0" borderId="0"/>
    <xf numFmtId="0" fontId="20" fillId="0" borderId="0"/>
    <xf numFmtId="0" fontId="1" fillId="0" borderId="0"/>
    <xf numFmtId="0" fontId="33" fillId="0" borderId="0"/>
  </cellStyleXfs>
  <cellXfs count="534">
    <xf numFmtId="0" fontId="0" fillId="0" borderId="0" xfId="0"/>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9" fillId="0" borderId="0" xfId="0" applyFont="1" applyAlignment="1">
      <alignment vertical="center"/>
    </xf>
    <xf numFmtId="0" fontId="9"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9" fillId="0" borderId="6" xfId="0" applyFont="1" applyBorder="1" applyAlignment="1">
      <alignment horizontal="left" vertical="center"/>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9" fillId="0" borderId="18" xfId="0" applyFont="1" applyBorder="1" applyAlignment="1">
      <alignment horizontal="left" vertical="top"/>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2" borderId="1" xfId="0" applyFont="1" applyFill="1" applyBorder="1" applyAlignment="1">
      <alignment horizontal="left" vertical="center" indent="1"/>
    </xf>
    <xf numFmtId="49" fontId="7" fillId="2" borderId="0" xfId="0" applyNumberFormat="1" applyFont="1" applyFill="1" applyAlignment="1">
      <alignment horizontal="left" vertical="center"/>
    </xf>
    <xf numFmtId="0" fontId="0" fillId="2" borderId="1" xfId="0" applyFill="1" applyBorder="1" applyAlignment="1">
      <alignment horizontal="left" vertical="center" indent="1"/>
    </xf>
    <xf numFmtId="0" fontId="9" fillId="2" borderId="0" xfId="0" applyFont="1" applyFill="1" applyAlignment="1">
      <alignment horizontal="left" vertical="center"/>
    </xf>
    <xf numFmtId="0" fontId="0" fillId="2" borderId="9" xfId="0" applyFill="1" applyBorder="1" applyAlignment="1">
      <alignment horizontal="left" vertical="center" indent="1"/>
    </xf>
    <xf numFmtId="0" fontId="0" fillId="2" borderId="6" xfId="0" applyFill="1" applyBorder="1"/>
    <xf numFmtId="49" fontId="9" fillId="2" borderId="6" xfId="0" applyNumberFormat="1" applyFont="1" applyFill="1" applyBorder="1" applyAlignment="1">
      <alignment horizontal="left" vertical="center"/>
    </xf>
    <xf numFmtId="0" fontId="9" fillId="2" borderId="6" xfId="0" applyFont="1" applyFill="1" applyBorder="1"/>
    <xf numFmtId="0" fontId="9" fillId="2" borderId="8" xfId="0" applyFont="1" applyFill="1" applyBorder="1"/>
    <xf numFmtId="49" fontId="9" fillId="0" borderId="0" xfId="0" applyNumberFormat="1" applyFont="1" applyAlignment="1">
      <alignment horizontal="left" vertical="center"/>
    </xf>
    <xf numFmtId="49" fontId="9" fillId="0" borderId="6" xfId="0" applyNumberFormat="1" applyFont="1" applyBorder="1" applyAlignment="1">
      <alignment horizontal="right" vertical="center"/>
    </xf>
    <xf numFmtId="49" fontId="9" fillId="3" borderId="0" xfId="0" applyNumberFormat="1" applyFont="1" applyFill="1" applyAlignment="1" applyProtection="1">
      <alignment horizontal="left" vertical="center"/>
      <protection locked="0"/>
    </xf>
    <xf numFmtId="49" fontId="9" fillId="3" borderId="6" xfId="0" applyNumberFormat="1" applyFont="1" applyFill="1" applyBorder="1" applyAlignment="1" applyProtection="1">
      <alignment horizontal="right" vertical="center"/>
      <protection locked="0"/>
    </xf>
    <xf numFmtId="49" fontId="0" fillId="0" borderId="0" xfId="0" applyNumberFormat="1"/>
    <xf numFmtId="4" fontId="0" fillId="0" borderId="0" xfId="0" applyNumberFormat="1"/>
    <xf numFmtId="3" fontId="0" fillId="0" borderId="26" xfId="0" applyNumberFormat="1" applyBorder="1"/>
    <xf numFmtId="3" fontId="0" fillId="4" borderId="30" xfId="0" applyNumberFormat="1" applyFill="1" applyBorder="1"/>
    <xf numFmtId="3" fontId="8" fillId="2" borderId="27"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8" xfId="0" applyNumberFormat="1" applyFont="1" applyFill="1" applyBorder="1" applyAlignment="1">
      <alignment vertical="center" wrapText="1"/>
    </xf>
    <xf numFmtId="3" fontId="8" fillId="2" borderId="28" xfId="0" applyNumberFormat="1" applyFont="1" applyFill="1" applyBorder="1" applyAlignment="1">
      <alignment horizontal="center" vertical="center" wrapText="1"/>
    </xf>
    <xf numFmtId="3" fontId="0" fillId="0" borderId="31" xfId="0" applyNumberFormat="1" applyBorder="1"/>
    <xf numFmtId="3" fontId="0" fillId="0" borderId="29" xfId="0" applyNumberFormat="1" applyBorder="1"/>
    <xf numFmtId="0" fontId="3" fillId="0" borderId="0" xfId="0" applyFont="1" applyAlignment="1">
      <alignment horizontal="center" shrinkToFit="1"/>
    </xf>
    <xf numFmtId="3" fontId="11" fillId="2" borderId="28" xfId="0" applyNumberFormat="1" applyFont="1" applyFill="1" applyBorder="1" applyAlignment="1">
      <alignment horizontal="center" vertical="center" wrapText="1" shrinkToFit="1"/>
    </xf>
    <xf numFmtId="3" fontId="8" fillId="2"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xf>
    <xf numFmtId="0" fontId="0" fillId="2" borderId="7" xfId="0" applyFill="1" applyBorder="1" applyAlignment="1">
      <alignment horizontal="left" vertical="center"/>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9" fillId="2" borderId="13" xfId="0" applyNumberFormat="1" applyFont="1" applyFill="1" applyBorder="1" applyAlignment="1">
      <alignment horizontal="left" vertical="center"/>
    </xf>
    <xf numFmtId="0" fontId="16" fillId="0" borderId="0" xfId="0" applyFont="1" applyAlignment="1">
      <alignment wrapText="1"/>
    </xf>
    <xf numFmtId="0" fontId="7" fillId="0" borderId="0" xfId="0" applyFon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7" fillId="2" borderId="3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8" fillId="4" borderId="10" xfId="0" applyFont="1" applyFill="1" applyBorder="1"/>
    <xf numFmtId="0" fontId="8" fillId="4" borderId="6" xfId="0" applyFont="1" applyFill="1" applyBorder="1"/>
    <xf numFmtId="0" fontId="17" fillId="2" borderId="35" xfId="0" applyFont="1" applyFill="1" applyBorder="1" applyAlignment="1">
      <alignment horizontal="center" vertical="center" wrapText="1"/>
    </xf>
    <xf numFmtId="49" fontId="8" fillId="0" borderId="36" xfId="0" applyNumberFormat="1" applyFont="1" applyBorder="1" applyAlignment="1">
      <alignment vertical="center"/>
    </xf>
    <xf numFmtId="49" fontId="8" fillId="0" borderId="10" xfId="0" applyNumberFormat="1" applyFont="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0" borderId="39" xfId="0" applyNumberFormat="1" applyFont="1" applyBorder="1" applyAlignment="1">
      <alignment horizontal="center" vertical="center"/>
    </xf>
    <xf numFmtId="4" fontId="8" fillId="0" borderId="39" xfId="0" applyNumberFormat="1" applyFont="1" applyBorder="1" applyAlignment="1">
      <alignment vertical="center"/>
    </xf>
    <xf numFmtId="4" fontId="8" fillId="4" borderId="39" xfId="0" applyNumberFormat="1" applyFont="1" applyFill="1" applyBorder="1" applyAlignment="1">
      <alignment horizontal="center"/>
    </xf>
    <xf numFmtId="4" fontId="8" fillId="4" borderId="39" xfId="0" applyNumberFormat="1" applyFont="1" applyFill="1" applyBorder="1"/>
    <xf numFmtId="49" fontId="0" fillId="0" borderId="1" xfId="0" applyNumberFormat="1" applyBorder="1"/>
    <xf numFmtId="49" fontId="0" fillId="0" borderId="14" xfId="0" applyNumberFormat="1" applyBorder="1" applyAlignment="1">
      <alignment horizontal="left" vertical="center" indent="1"/>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2" borderId="46" xfId="0" applyFill="1" applyBorder="1"/>
    <xf numFmtId="49" fontId="0" fillId="2" borderId="43" xfId="0" applyNumberFormat="1" applyFill="1" applyBorder="1"/>
    <xf numFmtId="0" fontId="0" fillId="2" borderId="43" xfId="0" applyFill="1" applyBorder="1"/>
    <xf numFmtId="0" fontId="0" fillId="2" borderId="42" xfId="0" applyFill="1" applyBorder="1"/>
    <xf numFmtId="0" fontId="0" fillId="2" borderId="36" xfId="0" applyFill="1" applyBorder="1"/>
    <xf numFmtId="0" fontId="18" fillId="0" borderId="0" xfId="0" applyFont="1"/>
    <xf numFmtId="0" fontId="18" fillId="0" borderId="26" xfId="0" applyFont="1" applyBorder="1" applyAlignment="1">
      <alignment vertical="top"/>
    </xf>
    <xf numFmtId="0" fontId="0" fillId="2" borderId="10" xfId="0" applyFill="1" applyBorder="1" applyAlignment="1">
      <alignment vertical="top"/>
    </xf>
    <xf numFmtId="0" fontId="0" fillId="2" borderId="35" xfId="0" applyFill="1" applyBorder="1"/>
    <xf numFmtId="49" fontId="0" fillId="2" borderId="35" xfId="0" applyNumberFormat="1" applyFill="1" applyBorder="1"/>
    <xf numFmtId="0" fontId="0" fillId="2" borderId="49" xfId="0" applyFill="1" applyBorder="1" applyAlignment="1">
      <alignment vertical="top"/>
    </xf>
    <xf numFmtId="0" fontId="0" fillId="2" borderId="50" xfId="0" applyFill="1" applyBorder="1" applyAlignment="1">
      <alignment wrapText="1"/>
    </xf>
    <xf numFmtId="0" fontId="18" fillId="0" borderId="34" xfId="0" applyFont="1" applyBorder="1" applyAlignment="1">
      <alignment vertical="top" shrinkToFit="1"/>
    </xf>
    <xf numFmtId="0" fontId="18" fillId="0" borderId="33" xfId="0" applyFont="1" applyBorder="1" applyAlignment="1">
      <alignment vertical="top" shrinkToFit="1"/>
    </xf>
    <xf numFmtId="0" fontId="18" fillId="0" borderId="26" xfId="0" applyFont="1" applyBorder="1" applyAlignment="1">
      <alignment vertical="top" shrinkToFit="1"/>
    </xf>
    <xf numFmtId="0" fontId="19" fillId="0" borderId="34" xfId="0" applyFont="1" applyBorder="1" applyAlignment="1">
      <alignment vertical="top" wrapText="1" shrinkToFit="1"/>
    </xf>
    <xf numFmtId="0" fontId="0" fillId="2" borderId="38" xfId="0" applyFill="1" applyBorder="1" applyAlignment="1">
      <alignment vertical="top" shrinkToFit="1"/>
    </xf>
    <xf numFmtId="0" fontId="0" fillId="2" borderId="39" xfId="0" applyFill="1" applyBorder="1" applyAlignment="1">
      <alignment vertical="top" shrinkToFit="1"/>
    </xf>
    <xf numFmtId="0" fontId="0" fillId="2" borderId="10" xfId="0" applyFill="1" applyBorder="1" applyAlignment="1">
      <alignment vertical="top" shrinkToFit="1"/>
    </xf>
    <xf numFmtId="164" fontId="18" fillId="0" borderId="33" xfId="0" applyNumberFormat="1" applyFont="1" applyBorder="1" applyAlignment="1">
      <alignment vertical="top" shrinkToFit="1"/>
    </xf>
    <xf numFmtId="164" fontId="19" fillId="0" borderId="33" xfId="0" applyNumberFormat="1" applyFont="1" applyBorder="1" applyAlignment="1">
      <alignment vertical="top" wrapText="1" shrinkToFit="1"/>
    </xf>
    <xf numFmtId="164" fontId="0" fillId="2" borderId="39" xfId="0" applyNumberFormat="1" applyFill="1" applyBorder="1" applyAlignment="1">
      <alignment vertical="top" shrinkToFit="1"/>
    </xf>
    <xf numFmtId="4" fontId="18" fillId="3" borderId="33" xfId="0" applyNumberFormat="1" applyFont="1" applyFill="1" applyBorder="1" applyAlignment="1" applyProtection="1">
      <alignment vertical="top" shrinkToFit="1"/>
      <protection locked="0"/>
    </xf>
    <xf numFmtId="4" fontId="18" fillId="0" borderId="33" xfId="0" applyNumberFormat="1" applyFont="1" applyBorder="1" applyAlignment="1">
      <alignment vertical="top" shrinkToFit="1"/>
    </xf>
    <xf numFmtId="4" fontId="0" fillId="2" borderId="39" xfId="0" applyNumberFormat="1" applyFill="1" applyBorder="1" applyAlignment="1">
      <alignment vertical="top" shrinkToFit="1"/>
    </xf>
    <xf numFmtId="0" fontId="0" fillId="2" borderId="51" xfId="0" applyFill="1" applyBorder="1"/>
    <xf numFmtId="0" fontId="0" fillId="2" borderId="52" xfId="0" applyFill="1" applyBorder="1" applyAlignment="1">
      <alignment wrapText="1"/>
    </xf>
    <xf numFmtId="0" fontId="0" fillId="2" borderId="53" xfId="0" applyFill="1" applyBorder="1" applyAlignment="1">
      <alignment vertical="top"/>
    </xf>
    <xf numFmtId="49" fontId="0" fillId="2" borderId="53" xfId="0" applyNumberFormat="1" applyFill="1" applyBorder="1" applyAlignment="1">
      <alignment vertical="top"/>
    </xf>
    <xf numFmtId="49" fontId="0" fillId="2" borderId="49" xfId="0" applyNumberFormat="1" applyFill="1" applyBorder="1" applyAlignment="1">
      <alignment vertical="top"/>
    </xf>
    <xf numFmtId="0" fontId="0" fillId="2" borderId="54" xfId="0" applyFill="1" applyBorder="1" applyAlignment="1">
      <alignment vertical="top"/>
    </xf>
    <xf numFmtId="164" fontId="0" fillId="2" borderId="49" xfId="0" applyNumberFormat="1" applyFill="1" applyBorder="1" applyAlignment="1">
      <alignment vertical="top"/>
    </xf>
    <xf numFmtId="4" fontId="0" fillId="2" borderId="49" xfId="0" applyNumberFormat="1" applyFill="1" applyBorder="1" applyAlignment="1">
      <alignment vertical="top"/>
    </xf>
    <xf numFmtId="0" fontId="18" fillId="0" borderId="10" xfId="0" applyFont="1" applyBorder="1" applyAlignment="1">
      <alignment vertical="top"/>
    </xf>
    <xf numFmtId="0" fontId="19" fillId="0" borderId="38" xfId="0" applyFont="1" applyBorder="1" applyAlignment="1">
      <alignment vertical="top" wrapText="1" shrinkToFit="1"/>
    </xf>
    <xf numFmtId="164" fontId="19" fillId="0" borderId="39" xfId="0" applyNumberFormat="1" applyFont="1" applyBorder="1" applyAlignment="1">
      <alignment vertical="top" wrapText="1" shrinkToFit="1"/>
    </xf>
    <xf numFmtId="4" fontId="18" fillId="0" borderId="39" xfId="0" applyNumberFormat="1" applyFont="1" applyBorder="1" applyAlignment="1">
      <alignment vertical="top" shrinkToFit="1"/>
    </xf>
    <xf numFmtId="0" fontId="18" fillId="0" borderId="39" xfId="0" applyFont="1" applyBorder="1" applyAlignment="1">
      <alignment vertical="top" shrinkToFit="1"/>
    </xf>
    <xf numFmtId="0" fontId="18" fillId="0" borderId="10" xfId="0" applyFont="1" applyBorder="1" applyAlignment="1">
      <alignment vertical="top" shrinkToFit="1"/>
    </xf>
    <xf numFmtId="0" fontId="9" fillId="2" borderId="15" xfId="0" applyFont="1" applyFill="1" applyBorder="1" applyAlignment="1">
      <alignment vertical="top"/>
    </xf>
    <xf numFmtId="49" fontId="9" fillId="2" borderId="12" xfId="0" applyNumberFormat="1" applyFont="1" applyFill="1" applyBorder="1" applyAlignment="1">
      <alignment vertical="top"/>
    </xf>
    <xf numFmtId="0" fontId="9" fillId="2" borderId="12" xfId="0" applyFont="1" applyFill="1" applyBorder="1" applyAlignment="1">
      <alignment vertical="top"/>
    </xf>
    <xf numFmtId="4" fontId="9" fillId="2" borderId="22" xfId="0" applyNumberFormat="1" applyFont="1" applyFill="1" applyBorder="1" applyAlignment="1">
      <alignment vertical="top"/>
    </xf>
    <xf numFmtId="0" fontId="18" fillId="0" borderId="33" xfId="0" applyFont="1" applyBorder="1" applyAlignment="1">
      <alignment horizontal="left" vertical="top" wrapText="1"/>
    </xf>
    <xf numFmtId="0" fontId="19" fillId="0" borderId="33" xfId="0" quotePrefix="1" applyFont="1" applyBorder="1" applyAlignment="1">
      <alignment horizontal="left" vertical="top" wrapText="1"/>
    </xf>
    <xf numFmtId="0" fontId="0" fillId="2" borderId="39" xfId="0" applyFill="1" applyBorder="1" applyAlignment="1">
      <alignment horizontal="left" vertical="top" wrapText="1"/>
    </xf>
    <xf numFmtId="0" fontId="19" fillId="0" borderId="39" xfId="0" quotePrefix="1" applyFont="1" applyBorder="1" applyAlignment="1">
      <alignment horizontal="left" vertical="top" wrapText="1"/>
    </xf>
    <xf numFmtId="49" fontId="0" fillId="0" borderId="0" xfId="0" applyNumberFormat="1" applyAlignment="1">
      <alignment horizontal="left" vertical="top" wrapText="1"/>
    </xf>
    <xf numFmtId="49" fontId="9"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33" xfId="0" applyNumberFormat="1" applyFont="1" applyBorder="1" applyAlignment="1">
      <alignment vertical="top" shrinkToFit="1"/>
    </xf>
    <xf numFmtId="0" fontId="18" fillId="0" borderId="39" xfId="0" applyFont="1" applyBorder="1" applyAlignment="1">
      <alignment horizontal="left" vertical="top" wrapText="1"/>
    </xf>
    <xf numFmtId="0" fontId="18" fillId="0" borderId="38" xfId="0" applyFont="1" applyBorder="1" applyAlignment="1">
      <alignment vertical="top" shrinkToFit="1"/>
    </xf>
    <xf numFmtId="4" fontId="18" fillId="3" borderId="39" xfId="0" applyNumberFormat="1" applyFont="1" applyFill="1" applyBorder="1" applyAlignment="1" applyProtection="1">
      <alignment vertical="top" shrinkToFit="1"/>
      <protection locked="0"/>
    </xf>
    <xf numFmtId="0" fontId="0" fillId="2" borderId="10" xfId="0" applyFill="1" applyBorder="1" applyAlignment="1">
      <alignment horizontal="left" vertical="top"/>
    </xf>
    <xf numFmtId="0" fontId="0" fillId="0" borderId="49" xfId="0" applyBorder="1" applyAlignment="1">
      <alignment vertical="center"/>
    </xf>
    <xf numFmtId="0" fontId="0" fillId="2" borderId="49" xfId="0" applyFill="1" applyBorder="1"/>
    <xf numFmtId="0" fontId="0" fillId="2" borderId="54" xfId="0" applyFill="1" applyBorder="1"/>
    <xf numFmtId="0" fontId="0" fillId="2" borderId="52" xfId="0" applyFill="1" applyBorder="1"/>
    <xf numFmtId="49" fontId="0" fillId="2" borderId="52" xfId="0" applyNumberFormat="1" applyFill="1" applyBorder="1"/>
    <xf numFmtId="0" fontId="9" fillId="2" borderId="53" xfId="0" applyFont="1" applyFill="1" applyBorder="1" applyAlignment="1">
      <alignment vertical="top"/>
    </xf>
    <xf numFmtId="49" fontId="9" fillId="2" borderId="43" xfId="0" applyNumberFormat="1" applyFont="1" applyFill="1" applyBorder="1" applyAlignment="1">
      <alignment horizontal="left" vertical="top" wrapText="1"/>
    </xf>
    <xf numFmtId="0" fontId="9" fillId="2" borderId="43" xfId="0" applyFont="1" applyFill="1" applyBorder="1" applyAlignment="1">
      <alignment vertical="top"/>
    </xf>
    <xf numFmtId="4" fontId="9" fillId="2" borderId="54" xfId="0" applyNumberFormat="1" applyFont="1" applyFill="1" applyBorder="1" applyAlignment="1">
      <alignment vertical="top"/>
    </xf>
    <xf numFmtId="49" fontId="0" fillId="0" borderId="43" xfId="0" applyNumberFormat="1" applyBorder="1" applyAlignment="1">
      <alignment horizontal="left" vertical="center"/>
    </xf>
    <xf numFmtId="49" fontId="0" fillId="2" borderId="43" xfId="0" applyNumberFormat="1" applyFill="1" applyBorder="1" applyAlignment="1">
      <alignment horizontal="left"/>
    </xf>
    <xf numFmtId="49" fontId="0" fillId="2" borderId="52" xfId="0" applyNumberFormat="1" applyFill="1" applyBorder="1" applyAlignment="1">
      <alignment horizontal="left"/>
    </xf>
    <xf numFmtId="49" fontId="0" fillId="2" borderId="53" xfId="0" applyNumberFormat="1" applyFill="1" applyBorder="1" applyAlignment="1">
      <alignment horizontal="left" vertical="top"/>
    </xf>
    <xf numFmtId="0" fontId="18" fillId="0" borderId="26" xfId="0" applyFont="1" applyBorder="1" applyAlignment="1">
      <alignment horizontal="left" vertical="top"/>
    </xf>
    <xf numFmtId="0" fontId="18" fillId="0" borderId="10" xfId="0" applyFont="1" applyBorder="1" applyAlignment="1">
      <alignment horizontal="left" vertical="top"/>
    </xf>
    <xf numFmtId="49" fontId="0" fillId="0" borderId="0" xfId="0" applyNumberFormat="1" applyAlignment="1">
      <alignment horizontal="left" vertical="top"/>
    </xf>
    <xf numFmtId="49" fontId="9" fillId="2" borderId="43" xfId="0" applyNumberFormat="1" applyFont="1" applyFill="1" applyBorder="1" applyAlignment="1">
      <alignment horizontal="left" vertical="top"/>
    </xf>
    <xf numFmtId="49" fontId="0" fillId="0" borderId="0" xfId="0" applyNumberFormat="1" applyAlignment="1">
      <alignment horizontal="left"/>
    </xf>
    <xf numFmtId="0" fontId="0" fillId="0" borderId="43" xfId="0" applyBorder="1" applyAlignment="1">
      <alignment horizontal="left" vertical="center"/>
    </xf>
    <xf numFmtId="0" fontId="0" fillId="0" borderId="43" xfId="0" applyBorder="1"/>
    <xf numFmtId="0" fontId="9" fillId="0" borderId="43" xfId="0" applyFont="1" applyBorder="1" applyAlignment="1">
      <alignment horizontal="left" vertical="center"/>
    </xf>
    <xf numFmtId="0" fontId="9" fillId="0" borderId="43" xfId="0" applyFont="1" applyBorder="1"/>
    <xf numFmtId="1" fontId="9" fillId="0" borderId="43" xfId="0" applyNumberFormat="1" applyFont="1" applyBorder="1" applyAlignment="1">
      <alignment horizontal="right" vertical="center"/>
    </xf>
    <xf numFmtId="0" fontId="0" fillId="0" borderId="43" xfId="0" applyBorder="1" applyAlignment="1">
      <alignment horizontal="left" vertical="center" indent="1"/>
    </xf>
    <xf numFmtId="0" fontId="9" fillId="0" borderId="43" xfId="0" applyFont="1" applyBorder="1" applyAlignment="1">
      <alignment vertical="center"/>
    </xf>
    <xf numFmtId="1" fontId="9" fillId="0" borderId="53" xfId="0" applyNumberFormat="1" applyFont="1" applyBorder="1" applyAlignment="1">
      <alignment horizontal="right" vertical="center"/>
    </xf>
    <xf numFmtId="0" fontId="9" fillId="0" borderId="6" xfId="0" applyFont="1" applyBorder="1"/>
    <xf numFmtId="3" fontId="8" fillId="2" borderId="36" xfId="0" applyNumberFormat="1" applyFont="1" applyFill="1" applyBorder="1" applyAlignment="1">
      <alignment vertical="center"/>
    </xf>
    <xf numFmtId="3" fontId="11" fillId="2" borderId="52" xfId="0" applyNumberFormat="1" applyFont="1" applyFill="1" applyBorder="1" applyAlignment="1">
      <alignment horizontal="center" vertical="center" wrapText="1" shrinkToFit="1"/>
    </xf>
    <xf numFmtId="3" fontId="8" fillId="2" borderId="52" xfId="0" applyNumberFormat="1" applyFont="1" applyFill="1" applyBorder="1" applyAlignment="1">
      <alignment horizontal="center" vertical="center" wrapText="1" shrinkToFit="1"/>
    </xf>
    <xf numFmtId="3" fontId="8" fillId="2" borderId="52" xfId="0" applyNumberFormat="1" applyFont="1" applyFill="1" applyBorder="1" applyAlignment="1">
      <alignment horizontal="center" vertical="center" wrapText="1"/>
    </xf>
    <xf numFmtId="3" fontId="0" fillId="0" borderId="53" xfId="0" applyNumberFormat="1" applyBorder="1"/>
    <xf numFmtId="3" fontId="4" fillId="0" borderId="49" xfId="0" applyNumberFormat="1" applyFont="1" applyBorder="1" applyAlignment="1">
      <alignment horizontal="right" wrapText="1" shrinkToFit="1"/>
    </xf>
    <xf numFmtId="3" fontId="4" fillId="0" borderId="49" xfId="0" applyNumberFormat="1" applyFont="1" applyBorder="1" applyAlignment="1">
      <alignment horizontal="right" shrinkToFit="1"/>
    </xf>
    <xf numFmtId="3" fontId="0" fillId="0" borderId="49" xfId="0" applyNumberFormat="1" applyBorder="1" applyAlignment="1">
      <alignment shrinkToFit="1"/>
    </xf>
    <xf numFmtId="3" fontId="0" fillId="0" borderId="49" xfId="0" applyNumberFormat="1" applyBorder="1"/>
    <xf numFmtId="3" fontId="0" fillId="4" borderId="39" xfId="0" applyNumberFormat="1" applyFill="1" applyBorder="1" applyAlignment="1">
      <alignment wrapText="1" shrinkToFit="1"/>
    </xf>
    <xf numFmtId="3" fontId="0" fillId="4" borderId="39" xfId="0" applyNumberFormat="1" applyFill="1" applyBorder="1" applyAlignment="1">
      <alignment shrinkToFit="1"/>
    </xf>
    <xf numFmtId="3" fontId="0" fillId="4" borderId="39" xfId="0" applyNumberFormat="1" applyFill="1" applyBorder="1"/>
    <xf numFmtId="0" fontId="20" fillId="0" borderId="0" xfId="2"/>
    <xf numFmtId="0" fontId="22" fillId="0" borderId="20"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55" xfId="2" applyFont="1" applyBorder="1" applyAlignment="1">
      <alignment horizontal="center" vertical="center" wrapText="1"/>
    </xf>
    <xf numFmtId="49" fontId="22" fillId="0" borderId="14" xfId="2" applyNumberFormat="1" applyFont="1" applyBorder="1" applyAlignment="1">
      <alignment horizontal="left" vertical="center"/>
    </xf>
    <xf numFmtId="49" fontId="22" fillId="0" borderId="43" xfId="2" applyNumberFormat="1" applyFont="1" applyBorder="1" applyAlignment="1">
      <alignment horizontal="left" vertical="center"/>
    </xf>
    <xf numFmtId="4" fontId="21" fillId="0" borderId="14" xfId="2" applyNumberFormat="1" applyFont="1" applyBorder="1" applyAlignment="1">
      <alignment horizontal="center" vertical="center"/>
    </xf>
    <xf numFmtId="4" fontId="21" fillId="0" borderId="58" xfId="2" applyNumberFormat="1" applyFont="1" applyBorder="1" applyAlignment="1">
      <alignment horizontal="center" vertical="center"/>
    </xf>
    <xf numFmtId="0" fontId="23" fillId="0" borderId="0" xfId="2" applyFont="1"/>
    <xf numFmtId="0" fontId="24" fillId="0" borderId="0" xfId="2" applyFont="1"/>
    <xf numFmtId="4" fontId="25" fillId="0" borderId="0" xfId="2" applyNumberFormat="1" applyFont="1"/>
    <xf numFmtId="49" fontId="21" fillId="0" borderId="0" xfId="2" applyNumberFormat="1" applyFont="1" applyAlignment="1">
      <alignment vertical="center"/>
    </xf>
    <xf numFmtId="49" fontId="21" fillId="0" borderId="0" xfId="2" applyNumberFormat="1" applyFont="1" applyAlignment="1">
      <alignment horizontal="center" vertical="center"/>
    </xf>
    <xf numFmtId="0" fontId="25" fillId="0" borderId="0" xfId="2" applyFont="1"/>
    <xf numFmtId="49" fontId="20" fillId="0" borderId="0" xfId="2" applyNumberFormat="1" applyAlignment="1">
      <alignment vertical="center"/>
    </xf>
    <xf numFmtId="49" fontId="20" fillId="0" borderId="0" xfId="2" applyNumberFormat="1" applyAlignment="1">
      <alignment horizontal="center" vertical="center"/>
    </xf>
    <xf numFmtId="49" fontId="20" fillId="0" borderId="0" xfId="2" applyNumberFormat="1" applyAlignment="1">
      <alignment vertical="top"/>
    </xf>
    <xf numFmtId="0" fontId="1" fillId="0" borderId="70" xfId="3" applyBorder="1"/>
    <xf numFmtId="0" fontId="1" fillId="0" borderId="0" xfId="3"/>
    <xf numFmtId="4" fontId="1" fillId="0" borderId="0" xfId="3" applyNumberFormat="1"/>
    <xf numFmtId="49" fontId="29" fillId="8" borderId="70" xfId="3" applyNumberFormat="1" applyFont="1" applyFill="1" applyBorder="1" applyAlignment="1">
      <alignment horizontal="left"/>
    </xf>
    <xf numFmtId="4" fontId="29" fillId="8" borderId="70" xfId="3" applyNumberFormat="1" applyFont="1" applyFill="1" applyBorder="1" applyAlignment="1">
      <alignment horizontal="right"/>
    </xf>
    <xf numFmtId="49" fontId="28" fillId="5" borderId="70" xfId="3" applyNumberFormat="1" applyFont="1" applyFill="1" applyBorder="1" applyAlignment="1">
      <alignment horizontal="left"/>
    </xf>
    <xf numFmtId="4" fontId="28" fillId="5" borderId="70" xfId="3" applyNumberFormat="1" applyFont="1" applyFill="1" applyBorder="1" applyAlignment="1">
      <alignment horizontal="right"/>
    </xf>
    <xf numFmtId="49" fontId="30" fillId="9" borderId="70" xfId="3" applyNumberFormat="1" applyFont="1" applyFill="1" applyBorder="1" applyAlignment="1">
      <alignment horizontal="left"/>
    </xf>
    <xf numFmtId="4" fontId="30" fillId="9" borderId="70" xfId="3" applyNumberFormat="1" applyFont="1" applyFill="1" applyBorder="1" applyAlignment="1">
      <alignment horizontal="right"/>
    </xf>
    <xf numFmtId="49" fontId="31" fillId="10" borderId="70" xfId="3" applyNumberFormat="1" applyFont="1" applyFill="1" applyBorder="1" applyAlignment="1">
      <alignment horizontal="left"/>
    </xf>
    <xf numFmtId="4" fontId="31" fillId="10" borderId="70" xfId="3" applyNumberFormat="1" applyFont="1" applyFill="1" applyBorder="1" applyAlignment="1">
      <alignment horizontal="right"/>
    </xf>
    <xf numFmtId="49" fontId="29" fillId="8" borderId="70" xfId="3" applyNumberFormat="1" applyFont="1" applyFill="1" applyBorder="1" applyAlignment="1">
      <alignment horizontal="center"/>
    </xf>
    <xf numFmtId="49" fontId="1" fillId="0" borderId="0" xfId="3" applyNumberFormat="1"/>
    <xf numFmtId="49" fontId="31" fillId="11" borderId="70" xfId="3" applyNumberFormat="1" applyFont="1" applyFill="1" applyBorder="1" applyAlignment="1">
      <alignment horizontal="left" wrapText="1"/>
    </xf>
    <xf numFmtId="49" fontId="31" fillId="11" borderId="70" xfId="3" applyNumberFormat="1" applyFont="1" applyFill="1" applyBorder="1" applyAlignment="1">
      <alignment horizontal="left"/>
    </xf>
    <xf numFmtId="4" fontId="31" fillId="11" borderId="70" xfId="3" applyNumberFormat="1" applyFont="1" applyFill="1" applyBorder="1" applyAlignment="1">
      <alignment horizontal="right"/>
    </xf>
    <xf numFmtId="49" fontId="28" fillId="5" borderId="70" xfId="3" applyNumberFormat="1" applyFont="1" applyFill="1" applyBorder="1" applyAlignment="1">
      <alignment horizontal="left" wrapText="1"/>
    </xf>
    <xf numFmtId="49" fontId="31" fillId="10" borderId="70" xfId="3" applyNumberFormat="1" applyFont="1" applyFill="1" applyBorder="1" applyAlignment="1">
      <alignment horizontal="left" wrapText="1"/>
    </xf>
    <xf numFmtId="49" fontId="29" fillId="8" borderId="70" xfId="3" applyNumberFormat="1" applyFont="1" applyFill="1" applyBorder="1" applyAlignment="1">
      <alignment horizontal="left" wrapText="1"/>
    </xf>
    <xf numFmtId="49" fontId="32" fillId="12" borderId="70" xfId="3" applyNumberFormat="1" applyFont="1" applyFill="1" applyBorder="1" applyAlignment="1">
      <alignment horizontal="left" wrapText="1"/>
    </xf>
    <xf numFmtId="49" fontId="32" fillId="12" borderId="70" xfId="3" applyNumberFormat="1" applyFont="1" applyFill="1" applyBorder="1" applyAlignment="1">
      <alignment horizontal="left"/>
    </xf>
    <xf numFmtId="4" fontId="32" fillId="12" borderId="70" xfId="3" applyNumberFormat="1" applyFont="1" applyFill="1" applyBorder="1" applyAlignment="1">
      <alignment horizontal="right"/>
    </xf>
    <xf numFmtId="49" fontId="32" fillId="12" borderId="70" xfId="3" applyNumberFormat="1" applyFont="1" applyFill="1" applyBorder="1" applyAlignment="1">
      <alignment horizontal="left" vertical="top" wrapText="1"/>
    </xf>
    <xf numFmtId="49" fontId="1" fillId="0" borderId="0" xfId="3" applyNumberFormat="1" applyAlignment="1">
      <alignment wrapText="1"/>
    </xf>
    <xf numFmtId="49" fontId="28" fillId="7" borderId="70" xfId="3" applyNumberFormat="1" applyFont="1" applyFill="1" applyBorder="1" applyAlignment="1" applyProtection="1">
      <alignment horizontal="left"/>
      <protection locked="0"/>
    </xf>
    <xf numFmtId="0" fontId="1" fillId="0" borderId="70" xfId="3" applyBorder="1" applyProtection="1">
      <protection locked="0"/>
    </xf>
    <xf numFmtId="0" fontId="1" fillId="0" borderId="0" xfId="3" applyProtection="1">
      <protection locked="0"/>
    </xf>
    <xf numFmtId="49" fontId="31" fillId="10" borderId="70" xfId="3" applyNumberFormat="1" applyFont="1" applyFill="1" applyBorder="1" applyAlignment="1" applyProtection="1">
      <alignment horizontal="left"/>
      <protection locked="0"/>
    </xf>
    <xf numFmtId="49" fontId="29" fillId="8" borderId="70" xfId="3" applyNumberFormat="1" applyFont="1" applyFill="1" applyBorder="1" applyAlignment="1" applyProtection="1">
      <alignment horizontal="left" wrapText="1"/>
      <protection locked="0"/>
    </xf>
    <xf numFmtId="49" fontId="29" fillId="8" borderId="70" xfId="3" applyNumberFormat="1" applyFont="1" applyFill="1" applyBorder="1" applyAlignment="1" applyProtection="1">
      <alignment horizontal="left"/>
      <protection locked="0"/>
    </xf>
    <xf numFmtId="49" fontId="28" fillId="5" borderId="70" xfId="3" applyNumberFormat="1" applyFont="1" applyFill="1" applyBorder="1" applyAlignment="1" applyProtection="1">
      <alignment horizontal="left"/>
      <protection locked="0"/>
    </xf>
    <xf numFmtId="49" fontId="30" fillId="9" borderId="70" xfId="3" applyNumberFormat="1" applyFont="1" applyFill="1" applyBorder="1" applyAlignment="1" applyProtection="1">
      <alignment horizontal="left"/>
      <protection locked="0"/>
    </xf>
    <xf numFmtId="49" fontId="28" fillId="7" borderId="70" xfId="3" applyNumberFormat="1" applyFont="1" applyFill="1" applyBorder="1" applyAlignment="1" applyProtection="1">
      <alignment horizontal="left" wrapText="1"/>
      <protection locked="0"/>
    </xf>
    <xf numFmtId="49" fontId="1" fillId="0" borderId="0" xfId="3" applyNumberFormat="1" applyProtection="1">
      <protection locked="0"/>
    </xf>
    <xf numFmtId="0" fontId="34" fillId="0" borderId="6" xfId="4" applyFont="1" applyBorder="1" applyAlignment="1">
      <alignment vertical="center"/>
    </xf>
    <xf numFmtId="0" fontId="34" fillId="0" borderId="0" xfId="4" applyFont="1" applyAlignment="1">
      <alignment vertical="center"/>
    </xf>
    <xf numFmtId="0" fontId="34" fillId="0" borderId="26" xfId="4" applyFont="1" applyBorder="1" applyAlignment="1">
      <alignment vertical="center"/>
    </xf>
    <xf numFmtId="49" fontId="37" fillId="13" borderId="49" xfId="4" applyNumberFormat="1" applyFont="1" applyFill="1" applyBorder="1" applyAlignment="1">
      <alignment horizontal="center" vertical="center"/>
    </xf>
    <xf numFmtId="49" fontId="39" fillId="0" borderId="52" xfId="4" applyNumberFormat="1" applyFont="1" applyBorder="1" applyAlignment="1">
      <alignment horizontal="left" vertical="center"/>
    </xf>
    <xf numFmtId="49" fontId="40" fillId="0" borderId="49" xfId="4" applyNumberFormat="1" applyFont="1" applyBorder="1" applyAlignment="1">
      <alignment horizontal="left" vertical="center"/>
    </xf>
    <xf numFmtId="4" fontId="40" fillId="0" borderId="49" xfId="4" applyNumberFormat="1" applyFont="1" applyBorder="1" applyAlignment="1">
      <alignment horizontal="right" vertical="center"/>
    </xf>
    <xf numFmtId="49" fontId="39" fillId="0" borderId="39" xfId="4" applyNumberFormat="1" applyFont="1" applyBorder="1" applyAlignment="1">
      <alignment horizontal="left" vertical="center"/>
    </xf>
    <xf numFmtId="49" fontId="40" fillId="0" borderId="49" xfId="4" applyNumberFormat="1" applyFont="1" applyBorder="1" applyAlignment="1">
      <alignment horizontal="right" vertical="center"/>
    </xf>
    <xf numFmtId="0" fontId="34" fillId="0" borderId="18" xfId="4" applyFont="1" applyBorder="1" applyAlignment="1">
      <alignment vertical="center"/>
    </xf>
    <xf numFmtId="0" fontId="34" fillId="0" borderId="37" xfId="4" applyFont="1" applyBorder="1" applyAlignment="1">
      <alignment vertical="center"/>
    </xf>
    <xf numFmtId="4" fontId="40" fillId="0" borderId="71" xfId="4" applyNumberFormat="1" applyFont="1" applyBorder="1" applyAlignment="1">
      <alignment horizontal="right" vertical="center"/>
    </xf>
    <xf numFmtId="0" fontId="34" fillId="0" borderId="72" xfId="4" applyFont="1" applyBorder="1" applyAlignment="1">
      <alignment vertical="center"/>
    </xf>
    <xf numFmtId="0" fontId="34" fillId="0" borderId="34" xfId="4" applyFont="1" applyBorder="1" applyAlignment="1">
      <alignment vertical="center"/>
    </xf>
    <xf numFmtId="4" fontId="39" fillId="13" borderId="54" xfId="4" applyNumberFormat="1" applyFont="1" applyFill="1" applyBorder="1" applyAlignment="1">
      <alignment horizontal="right" vertical="center"/>
    </xf>
    <xf numFmtId="0" fontId="34" fillId="0" borderId="10" xfId="4" applyFont="1" applyBorder="1" applyAlignment="1">
      <alignment vertical="center"/>
    </xf>
    <xf numFmtId="166" fontId="26" fillId="6" borderId="13" xfId="2" applyNumberFormat="1" applyFont="1" applyFill="1" applyBorder="1" applyAlignment="1">
      <alignment horizontal="center" vertical="center"/>
    </xf>
    <xf numFmtId="166" fontId="21" fillId="0" borderId="14" xfId="2" applyNumberFormat="1" applyFont="1" applyBorder="1" applyAlignment="1">
      <alignment horizontal="center" vertical="center"/>
    </xf>
    <xf numFmtId="166" fontId="21" fillId="0" borderId="58" xfId="2" applyNumberFormat="1" applyFont="1" applyBorder="1" applyAlignment="1">
      <alignment horizontal="center" vertical="center"/>
    </xf>
    <xf numFmtId="166" fontId="21" fillId="0" borderId="62" xfId="2" applyNumberFormat="1" applyFont="1" applyBorder="1" applyAlignment="1">
      <alignment horizontal="center" vertical="center"/>
    </xf>
    <xf numFmtId="166" fontId="21" fillId="0" borderId="23" xfId="2" applyNumberFormat="1" applyFont="1" applyBorder="1" applyAlignment="1">
      <alignment horizontal="center" vertical="center"/>
    </xf>
    <xf numFmtId="166" fontId="21" fillId="0" borderId="65" xfId="2" applyNumberFormat="1" applyFont="1" applyBorder="1" applyAlignment="1">
      <alignment horizontal="center" vertical="center"/>
    </xf>
    <xf numFmtId="166" fontId="21" fillId="0" borderId="25" xfId="2" applyNumberFormat="1" applyFont="1" applyBorder="1" applyAlignment="1">
      <alignment horizontal="center" vertical="center"/>
    </xf>
    <xf numFmtId="166" fontId="21" fillId="0" borderId="59" xfId="2" applyNumberFormat="1" applyFont="1" applyBorder="1" applyAlignment="1">
      <alignment horizontal="center" vertical="center"/>
    </xf>
    <xf numFmtId="166" fontId="21" fillId="0" borderId="60" xfId="2" applyNumberFormat="1" applyFont="1" applyBorder="1" applyAlignment="1">
      <alignment horizontal="center" vertical="center"/>
    </xf>
    <xf numFmtId="166" fontId="21" fillId="0" borderId="61" xfId="2" applyNumberFormat="1" applyFont="1" applyBorder="1" applyAlignment="1">
      <alignment horizontal="center" vertical="center"/>
    </xf>
    <xf numFmtId="166" fontId="21" fillId="0" borderId="68" xfId="2" applyNumberFormat="1" applyFont="1" applyBorder="1" applyAlignment="1">
      <alignment horizontal="center" vertical="center"/>
    </xf>
    <xf numFmtId="166" fontId="21" fillId="0" borderId="5" xfId="2" applyNumberFormat="1" applyFont="1" applyBorder="1" applyAlignment="1">
      <alignment horizontal="center" vertical="center"/>
    </xf>
    <xf numFmtId="166" fontId="26" fillId="6" borderId="69" xfId="2" applyNumberFormat="1" applyFont="1" applyFill="1" applyBorder="1" applyAlignment="1">
      <alignment horizontal="center" vertical="center"/>
    </xf>
    <xf numFmtId="166" fontId="26" fillId="6" borderId="62" xfId="2" applyNumberFormat="1" applyFont="1" applyFill="1" applyBorder="1" applyAlignment="1">
      <alignment horizontal="center" vertical="center"/>
    </xf>
    <xf numFmtId="49" fontId="28" fillId="7" borderId="75" xfId="3" applyNumberFormat="1" applyFont="1" applyFill="1" applyBorder="1" applyAlignment="1">
      <alignment horizontal="left"/>
    </xf>
    <xf numFmtId="4" fontId="28" fillId="7" borderId="75" xfId="3" applyNumberFormat="1" applyFont="1" applyFill="1" applyBorder="1" applyAlignment="1">
      <alignment horizontal="left"/>
    </xf>
    <xf numFmtId="0" fontId="1" fillId="0" borderId="75" xfId="3" applyBorder="1"/>
    <xf numFmtId="0" fontId="3" fillId="0" borderId="0" xfId="0" applyFont="1" applyAlignment="1">
      <alignment vertical="center"/>
    </xf>
    <xf numFmtId="49" fontId="28" fillId="7" borderId="75" xfId="3" applyNumberFormat="1" applyFont="1" applyFill="1" applyBorder="1" applyAlignment="1" applyProtection="1">
      <alignment horizontal="left"/>
      <protection locked="0"/>
    </xf>
    <xf numFmtId="0" fontId="1" fillId="0" borderId="75" xfId="3" applyBorder="1" applyProtection="1">
      <protection locked="0"/>
    </xf>
    <xf numFmtId="49" fontId="28" fillId="7" borderId="75" xfId="3" applyNumberFormat="1" applyFont="1" applyFill="1" applyBorder="1" applyAlignment="1">
      <alignment horizontal="left" wrapText="1"/>
    </xf>
    <xf numFmtId="0" fontId="43" fillId="0" borderId="0" xfId="0" applyFont="1"/>
    <xf numFmtId="165" fontId="18" fillId="0" borderId="39" xfId="0" applyNumberFormat="1" applyFont="1" applyBorder="1" applyAlignment="1">
      <alignment vertical="top" shrinkToFit="1"/>
    </xf>
    <xf numFmtId="0" fontId="20" fillId="0" borderId="0" xfId="4" applyFont="1" applyAlignment="1">
      <alignment vertical="center"/>
    </xf>
    <xf numFmtId="0" fontId="20" fillId="0" borderId="26" xfId="4" applyFont="1" applyBorder="1" applyAlignment="1">
      <alignment vertical="center"/>
    </xf>
    <xf numFmtId="49" fontId="20" fillId="0" borderId="0" xfId="4" applyNumberFormat="1" applyFont="1" applyAlignment="1">
      <alignment horizontal="left" vertical="center"/>
    </xf>
    <xf numFmtId="49" fontId="44" fillId="0" borderId="60" xfId="4" applyNumberFormat="1" applyFont="1" applyBorder="1" applyAlignment="1">
      <alignment horizontal="left" vertical="center"/>
    </xf>
    <xf numFmtId="49" fontId="44" fillId="0" borderId="66" xfId="4" applyNumberFormat="1" applyFont="1" applyBorder="1" applyAlignment="1">
      <alignment horizontal="left" vertical="center"/>
    </xf>
    <xf numFmtId="49" fontId="20" fillId="14" borderId="0" xfId="4" applyNumberFormat="1" applyFont="1" applyFill="1" applyAlignment="1">
      <alignment horizontal="left" vertical="center"/>
    </xf>
    <xf numFmtId="49" fontId="44" fillId="15" borderId="74" xfId="4" applyNumberFormat="1" applyFont="1" applyFill="1" applyBorder="1" applyAlignment="1">
      <alignment horizontal="left" vertical="center"/>
    </xf>
    <xf numFmtId="49" fontId="44" fillId="15" borderId="73" xfId="4" applyNumberFormat="1" applyFont="1" applyFill="1" applyBorder="1" applyAlignment="1">
      <alignment horizontal="left" vertical="center"/>
    </xf>
    <xf numFmtId="49" fontId="44" fillId="15" borderId="73" xfId="4" applyNumberFormat="1" applyFont="1" applyFill="1" applyBorder="1" applyAlignment="1">
      <alignment horizontal="right" vertical="center"/>
    </xf>
    <xf numFmtId="4" fontId="44" fillId="15" borderId="72" xfId="4" applyNumberFormat="1" applyFont="1" applyFill="1" applyBorder="1" applyAlignment="1">
      <alignment horizontal="right" vertical="center"/>
    </xf>
    <xf numFmtId="49" fontId="20" fillId="0" borderId="26" xfId="4" applyNumberFormat="1" applyFont="1" applyBorder="1" applyAlignment="1">
      <alignment horizontal="left" vertical="center"/>
    </xf>
    <xf numFmtId="4" fontId="20" fillId="0" borderId="0" xfId="4" applyNumberFormat="1" applyFont="1" applyAlignment="1">
      <alignment horizontal="right" vertical="center"/>
    </xf>
    <xf numFmtId="4" fontId="20" fillId="3" borderId="0" xfId="4" applyNumberFormat="1" applyFont="1" applyFill="1" applyAlignment="1">
      <alignment horizontal="right" vertical="center"/>
    </xf>
    <xf numFmtId="4" fontId="20" fillId="0" borderId="34" xfId="4" applyNumberFormat="1" applyFont="1" applyBorder="1" applyAlignment="1">
      <alignment horizontal="right" vertical="center"/>
    </xf>
    <xf numFmtId="4" fontId="20" fillId="0" borderId="0" xfId="4" applyNumberFormat="1" applyFont="1" applyAlignment="1">
      <alignment horizontal="left" vertical="center"/>
    </xf>
    <xf numFmtId="49" fontId="44" fillId="15" borderId="26" xfId="4" applyNumberFormat="1" applyFont="1" applyFill="1" applyBorder="1" applyAlignment="1">
      <alignment horizontal="left" vertical="center"/>
    </xf>
    <xf numFmtId="49" fontId="44" fillId="15" borderId="0" xfId="4" applyNumberFormat="1" applyFont="1" applyFill="1" applyAlignment="1">
      <alignment horizontal="left" vertical="center"/>
    </xf>
    <xf numFmtId="49" fontId="44" fillId="15" borderId="0" xfId="4" applyNumberFormat="1" applyFont="1" applyFill="1" applyAlignment="1">
      <alignment horizontal="right" vertical="center"/>
    </xf>
    <xf numFmtId="4" fontId="44" fillId="15" borderId="34" xfId="4" applyNumberFormat="1" applyFont="1" applyFill="1" applyBorder="1" applyAlignment="1">
      <alignment horizontal="right" vertical="center"/>
    </xf>
    <xf numFmtId="49" fontId="20" fillId="0" borderId="10" xfId="4" applyNumberFormat="1" applyFont="1" applyBorder="1" applyAlignment="1">
      <alignment horizontal="left" vertical="center"/>
    </xf>
    <xf numFmtId="49" fontId="20" fillId="0" borderId="6" xfId="4" applyNumberFormat="1" applyFont="1" applyBorder="1" applyAlignment="1">
      <alignment horizontal="left" vertical="center"/>
    </xf>
    <xf numFmtId="4" fontId="20" fillId="0" borderId="6" xfId="4" applyNumberFormat="1" applyFont="1" applyBorder="1" applyAlignment="1">
      <alignment horizontal="right" vertical="center"/>
    </xf>
    <xf numFmtId="4" fontId="20" fillId="0" borderId="38" xfId="4" applyNumberFormat="1" applyFont="1" applyBorder="1" applyAlignment="1">
      <alignment horizontal="right" vertical="center"/>
    </xf>
    <xf numFmtId="0" fontId="20" fillId="0" borderId="18" xfId="4" applyFont="1" applyBorder="1" applyAlignment="1">
      <alignment vertical="center"/>
    </xf>
    <xf numFmtId="49" fontId="44" fillId="0" borderId="0" xfId="4" applyNumberFormat="1" applyFont="1" applyAlignment="1">
      <alignment horizontal="left" vertical="center"/>
    </xf>
    <xf numFmtId="4" fontId="44" fillId="0" borderId="0" xfId="4" applyNumberFormat="1" applyFont="1" applyAlignment="1">
      <alignment horizontal="right" vertical="center"/>
    </xf>
    <xf numFmtId="4" fontId="20" fillId="3" borderId="6" xfId="4" applyNumberFormat="1" applyFont="1" applyFill="1" applyBorder="1" applyAlignment="1">
      <alignment horizontal="right" vertical="center"/>
    </xf>
    <xf numFmtId="4" fontId="28" fillId="3" borderId="70" xfId="3" applyNumberFormat="1" applyFont="1" applyFill="1" applyBorder="1" applyAlignment="1">
      <alignment horizontal="right"/>
    </xf>
    <xf numFmtId="4" fontId="14" fillId="0" borderId="53" xfId="0" applyNumberFormat="1" applyFont="1" applyBorder="1" applyAlignment="1">
      <alignment horizontal="right" vertical="center" indent="1"/>
    </xf>
    <xf numFmtId="4" fontId="14" fillId="0" borderId="54" xfId="0" applyNumberFormat="1" applyFont="1" applyBorder="1" applyAlignment="1">
      <alignment horizontal="right" vertical="center" indent="1"/>
    </xf>
    <xf numFmtId="3" fontId="14" fillId="0" borderId="53" xfId="0" applyNumberFormat="1" applyFont="1" applyBorder="1" applyAlignment="1">
      <alignment horizontal="right" vertical="center" indent="1"/>
    </xf>
    <xf numFmtId="3" fontId="14" fillId="0" borderId="16" xfId="0"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9" fontId="7" fillId="2" borderId="18" xfId="0" applyNumberFormat="1"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49" fontId="9" fillId="3" borderId="18" xfId="0" applyNumberFormat="1" applyFont="1" applyFill="1" applyBorder="1" applyAlignment="1" applyProtection="1">
      <alignment horizontal="left" vertical="center"/>
      <protection locked="0"/>
    </xf>
    <xf numFmtId="49" fontId="9" fillId="3" borderId="0" xfId="0" applyNumberFormat="1" applyFont="1" applyFill="1" applyAlignment="1" applyProtection="1">
      <alignment horizontal="left" vertical="center"/>
      <protection locked="0"/>
    </xf>
    <xf numFmtId="49" fontId="9" fillId="3" borderId="6" xfId="0" applyNumberFormat="1" applyFont="1" applyFill="1" applyBorder="1" applyAlignment="1" applyProtection="1">
      <alignment horizontal="left" vertical="center"/>
      <protection locked="0"/>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2" fillId="0" borderId="53" xfId="0" applyNumberFormat="1" applyFont="1" applyBorder="1" applyAlignment="1">
      <alignment horizontal="right" vertical="center" indent="1"/>
    </xf>
    <xf numFmtId="4" fontId="12" fillId="0" borderId="54" xfId="0" applyNumberFormat="1" applyFont="1" applyBorder="1" applyAlignment="1">
      <alignment horizontal="right" vertical="center" indent="1"/>
    </xf>
    <xf numFmtId="3" fontId="12" fillId="0" borderId="53" xfId="0" applyNumberFormat="1" applyFont="1" applyBorder="1" applyAlignment="1">
      <alignment horizontal="right" vertical="center" indent="1"/>
    </xf>
    <xf numFmtId="3" fontId="12" fillId="0" borderId="16" xfId="0" applyNumberFormat="1" applyFont="1" applyBorder="1" applyAlignment="1">
      <alignment horizontal="right" vertical="center" indent="1"/>
    </xf>
    <xf numFmtId="3" fontId="13" fillId="2" borderId="7" xfId="0" applyNumberFormat="1" applyFont="1" applyFill="1" applyBorder="1" applyAlignment="1">
      <alignment horizontal="right" vertical="center"/>
    </xf>
    <xf numFmtId="0" fontId="0" fillId="0" borderId="18" xfId="0" applyBorder="1" applyAlignment="1">
      <alignment horizontal="center"/>
    </xf>
    <xf numFmtId="3" fontId="0" fillId="0" borderId="43" xfId="0" applyNumberFormat="1" applyBorder="1"/>
    <xf numFmtId="3" fontId="0" fillId="0" borderId="43" xfId="0" applyNumberFormat="1" applyBorder="1" applyAlignment="1">
      <alignment wrapText="1"/>
    </xf>
    <xf numFmtId="3" fontId="0" fillId="4" borderId="53" xfId="0" applyNumberFormat="1" applyFill="1" applyBorder="1"/>
    <xf numFmtId="3" fontId="0" fillId="4" borderId="43" xfId="0" applyNumberFormat="1" applyFill="1" applyBorder="1"/>
    <xf numFmtId="3" fontId="0" fillId="4" borderId="54" xfId="0" applyNumberFormat="1" applyFill="1" applyBorder="1"/>
    <xf numFmtId="4" fontId="12" fillId="0" borderId="53" xfId="0" applyNumberFormat="1" applyFont="1" applyBorder="1" applyAlignment="1">
      <alignment vertical="center"/>
    </xf>
    <xf numFmtId="4" fontId="12" fillId="0" borderId="43" xfId="0" applyNumberFormat="1" applyFont="1" applyBorder="1" applyAlignment="1">
      <alignment vertical="center"/>
    </xf>
    <xf numFmtId="4" fontId="12" fillId="0" borderId="53" xfId="0" applyNumberFormat="1" applyFont="1" applyBorder="1" applyAlignment="1">
      <alignment horizontal="right" vertical="center"/>
    </xf>
    <xf numFmtId="4" fontId="12" fillId="0" borderId="43" xfId="0" applyNumberFormat="1" applyFont="1" applyBorder="1" applyAlignment="1">
      <alignment horizontal="right" vertical="center"/>
    </xf>
    <xf numFmtId="3" fontId="12" fillId="0" borderId="53" xfId="0" applyNumberFormat="1" applyFont="1" applyBorder="1" applyAlignment="1">
      <alignment vertical="center"/>
    </xf>
    <xf numFmtId="3" fontId="12" fillId="0" borderId="43" xfId="0" applyNumberFormat="1" applyFont="1" applyBorder="1" applyAlignment="1">
      <alignment vertical="center"/>
    </xf>
    <xf numFmtId="3" fontId="12" fillId="0" borderId="10" xfId="0" applyNumberFormat="1" applyFont="1" applyBorder="1" applyAlignment="1">
      <alignment horizontal="right" vertical="center"/>
    </xf>
    <xf numFmtId="3"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2" fontId="13" fillId="2" borderId="7" xfId="0" applyNumberFormat="1" applyFont="1" applyFill="1" applyBorder="1" applyAlignment="1">
      <alignment horizontal="right" vertical="center"/>
    </xf>
    <xf numFmtId="49" fontId="41" fillId="0" borderId="0" xfId="2" applyNumberFormat="1" applyFont="1" applyAlignment="1">
      <alignment horizontal="center" vertical="center"/>
    </xf>
    <xf numFmtId="49" fontId="21" fillId="0" borderId="20" xfId="2" applyNumberFormat="1" applyFont="1" applyBorder="1" applyAlignment="1">
      <alignment horizontal="center" vertical="center"/>
    </xf>
    <xf numFmtId="49" fontId="21" fillId="0" borderId="55" xfId="2" applyNumberFormat="1" applyFont="1" applyBorder="1" applyAlignment="1">
      <alignment horizontal="center" vertical="center"/>
    </xf>
    <xf numFmtId="49" fontId="21" fillId="0" borderId="3" xfId="2" applyNumberFormat="1" applyFont="1" applyBorder="1" applyAlignment="1">
      <alignment horizontal="center" vertical="center"/>
    </xf>
    <xf numFmtId="49" fontId="21" fillId="0" borderId="5" xfId="2" applyNumberFormat="1" applyFont="1" applyBorder="1" applyAlignment="1">
      <alignment horizontal="center" vertical="center"/>
    </xf>
    <xf numFmtId="49" fontId="22" fillId="0" borderId="56" xfId="2" applyNumberFormat="1" applyFont="1" applyBorder="1" applyAlignment="1">
      <alignment horizontal="center" vertical="center" wrapText="1"/>
    </xf>
    <xf numFmtId="0" fontId="22" fillId="0" borderId="57" xfId="2" applyFont="1" applyBorder="1" applyAlignment="1">
      <alignment horizontal="center" vertical="center" wrapText="1"/>
    </xf>
    <xf numFmtId="49" fontId="22" fillId="0" borderId="57" xfId="2" applyNumberFormat="1" applyFont="1" applyBorder="1" applyAlignment="1">
      <alignment horizontal="center" vertical="center" wrapText="1"/>
    </xf>
    <xf numFmtId="49" fontId="22" fillId="0" borderId="63" xfId="2" applyNumberFormat="1" applyFont="1" applyBorder="1" applyAlignment="1">
      <alignment horizontal="left" vertical="center"/>
    </xf>
    <xf numFmtId="49" fontId="22" fillId="0" borderId="64" xfId="2" applyNumberFormat="1" applyFont="1" applyBorder="1" applyAlignment="1">
      <alignment horizontal="left" vertical="center"/>
    </xf>
    <xf numFmtId="49" fontId="22" fillId="0" borderId="66" xfId="2" applyNumberFormat="1" applyFont="1" applyBorder="1" applyAlignment="1">
      <alignment horizontal="left" vertical="center"/>
    </xf>
    <xf numFmtId="49" fontId="22" fillId="0" borderId="67" xfId="2" applyNumberFormat="1" applyFont="1" applyBorder="1" applyAlignment="1">
      <alignment horizontal="left" vertical="center"/>
    </xf>
    <xf numFmtId="49" fontId="22" fillId="0" borderId="23" xfId="2" applyNumberFormat="1" applyFont="1" applyBorder="1" applyAlignment="1">
      <alignment horizontal="left" vertical="center"/>
    </xf>
    <xf numFmtId="49" fontId="22" fillId="0" borderId="25" xfId="2" applyNumberFormat="1" applyFont="1" applyBorder="1" applyAlignment="1">
      <alignment horizontal="left" vertical="center"/>
    </xf>
    <xf numFmtId="49" fontId="22" fillId="0" borderId="14" xfId="2" applyNumberFormat="1" applyFont="1" applyBorder="1" applyAlignment="1">
      <alignment horizontal="left" vertical="center"/>
    </xf>
    <xf numFmtId="49" fontId="22" fillId="0" borderId="43" xfId="2" applyNumberFormat="1" applyFont="1" applyBorder="1" applyAlignment="1">
      <alignment horizontal="left" vertical="center"/>
    </xf>
    <xf numFmtId="49" fontId="21" fillId="0" borderId="11" xfId="2" applyNumberFormat="1" applyFont="1" applyBorder="1" applyAlignment="1">
      <alignment vertical="center"/>
    </xf>
    <xf numFmtId="0" fontId="22" fillId="0" borderId="13" xfId="2" applyFont="1" applyBorder="1" applyAlignment="1">
      <alignment vertical="center"/>
    </xf>
    <xf numFmtId="49" fontId="26" fillId="0" borderId="56" xfId="2" applyNumberFormat="1" applyFont="1" applyBorder="1" applyAlignment="1">
      <alignment horizontal="center" vertical="center" wrapText="1"/>
    </xf>
    <xf numFmtId="49" fontId="26" fillId="0" borderId="57" xfId="2" applyNumberFormat="1" applyFont="1" applyBorder="1" applyAlignment="1">
      <alignment horizontal="center" vertical="center" wrapText="1"/>
    </xf>
    <xf numFmtId="0" fontId="27" fillId="0" borderId="57" xfId="2" applyFont="1" applyBorder="1" applyAlignment="1">
      <alignment horizontal="center" vertical="center" wrapText="1"/>
    </xf>
    <xf numFmtId="49" fontId="26" fillId="6" borderId="11" xfId="2" applyNumberFormat="1" applyFont="1" applyFill="1" applyBorder="1" applyAlignment="1">
      <alignment vertical="center"/>
    </xf>
    <xf numFmtId="49" fontId="26" fillId="6" borderId="13" xfId="2" applyNumberFormat="1" applyFont="1" applyFill="1" applyBorder="1" applyAlignment="1">
      <alignment vertical="center"/>
    </xf>
    <xf numFmtId="49" fontId="21" fillId="0" borderId="3" xfId="2" applyNumberFormat="1" applyFont="1" applyBorder="1" applyAlignment="1">
      <alignment vertical="center"/>
    </xf>
    <xf numFmtId="49" fontId="21" fillId="0" borderId="5" xfId="2" applyNumberFormat="1" applyFont="1" applyBorder="1" applyAlignment="1">
      <alignment vertical="center"/>
    </xf>
    <xf numFmtId="49" fontId="26" fillId="0" borderId="20" xfId="2" applyNumberFormat="1" applyFont="1" applyBorder="1" applyAlignment="1">
      <alignment horizontal="center" vertical="center"/>
    </xf>
    <xf numFmtId="49" fontId="26" fillId="0" borderId="55" xfId="2" applyNumberFormat="1" applyFont="1" applyBorder="1" applyAlignment="1">
      <alignment horizontal="center" vertical="center"/>
    </xf>
    <xf numFmtId="49" fontId="26" fillId="0" borderId="3" xfId="2" applyNumberFormat="1" applyFont="1" applyBorder="1" applyAlignment="1">
      <alignment horizontal="center" vertical="center"/>
    </xf>
    <xf numFmtId="49" fontId="26" fillId="0" borderId="5" xfId="2" applyNumberFormat="1" applyFont="1" applyBorder="1" applyAlignment="1">
      <alignment horizontal="center" vertical="center"/>
    </xf>
    <xf numFmtId="4" fontId="8" fillId="4" borderId="39" xfId="0" applyNumberFormat="1" applyFont="1" applyFill="1" applyBorder="1"/>
    <xf numFmtId="4" fontId="8" fillId="0" borderId="33" xfId="0" applyNumberFormat="1" applyFont="1" applyBorder="1" applyAlignment="1">
      <alignment vertical="center"/>
    </xf>
    <xf numFmtId="49" fontId="8" fillId="0" borderId="26" xfId="0" applyNumberFormat="1" applyFont="1" applyBorder="1" applyAlignment="1">
      <alignment vertical="center" wrapText="1"/>
    </xf>
    <xf numFmtId="49" fontId="8" fillId="0" borderId="0" xfId="0" applyNumberFormat="1" applyFont="1" applyAlignment="1">
      <alignment vertical="center" wrapText="1"/>
    </xf>
    <xf numFmtId="4" fontId="8" fillId="0" borderId="39" xfId="0" applyNumberFormat="1" applyFont="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4" fontId="8" fillId="0" borderId="35" xfId="0" applyNumberFormat="1" applyFont="1" applyBorder="1" applyAlignment="1">
      <alignment vertical="center"/>
    </xf>
    <xf numFmtId="49" fontId="8" fillId="0" borderId="36" xfId="0" applyNumberFormat="1" applyFont="1" applyBorder="1" applyAlignment="1">
      <alignment vertical="center" wrapText="1"/>
    </xf>
    <xf numFmtId="49" fontId="8" fillId="0" borderId="18" xfId="0" applyNumberFormat="1" applyFont="1" applyBorder="1" applyAlignment="1">
      <alignment vertical="center" wrapText="1"/>
    </xf>
    <xf numFmtId="49"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0" fillId="0" borderId="0" xfId="0" applyAlignment="1">
      <alignment wrapText="1"/>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17" fillId="2" borderId="35" xfId="0" applyFont="1" applyFill="1" applyBorder="1" applyAlignment="1">
      <alignment horizontal="center" vertical="center" wrapText="1"/>
    </xf>
    <xf numFmtId="3" fontId="12" fillId="0" borderId="15" xfId="0" applyNumberFormat="1" applyFont="1" applyBorder="1" applyAlignment="1">
      <alignment vertical="center"/>
    </xf>
    <xf numFmtId="3" fontId="12" fillId="0" borderId="12" xfId="0" applyNumberFormat="1" applyFont="1" applyBorder="1" applyAlignment="1">
      <alignment vertical="center"/>
    </xf>
    <xf numFmtId="3" fontId="14" fillId="0" borderId="15"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3" fontId="12" fillId="0" borderId="15" xfId="0" applyNumberFormat="1" applyFont="1" applyBorder="1" applyAlignment="1">
      <alignment horizontal="right" vertical="center" indent="1"/>
    </xf>
    <xf numFmtId="49" fontId="7" fillId="2" borderId="18" xfId="0" applyNumberFormat="1"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3" borderId="36"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37"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34"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38" xfId="0" applyFill="1" applyBorder="1" applyAlignment="1" applyProtection="1">
      <alignment vertical="top" wrapText="1"/>
      <protection locked="0"/>
    </xf>
    <xf numFmtId="0" fontId="42" fillId="0" borderId="53" xfId="0" applyFont="1" applyBorder="1" applyAlignment="1">
      <alignment horizontal="center" vertical="center"/>
    </xf>
    <xf numFmtId="0" fontId="42" fillId="0" borderId="43" xfId="0" applyFont="1" applyBorder="1" applyAlignment="1">
      <alignment horizontal="center" vertical="center"/>
    </xf>
    <xf numFmtId="0" fontId="42" fillId="0" borderId="54" xfId="0" applyFont="1" applyBorder="1" applyAlignment="1">
      <alignment horizontal="center"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49" fontId="0" fillId="0" borderId="41" xfId="0" applyNumberFormat="1" applyBorder="1" applyAlignment="1">
      <alignment vertical="center"/>
    </xf>
    <xf numFmtId="0" fontId="0" fillId="0" borderId="41" xfId="0" applyBorder="1" applyAlignment="1">
      <alignment vertical="center"/>
    </xf>
    <xf numFmtId="0" fontId="0" fillId="0" borderId="48" xfId="0" applyBorder="1" applyAlignment="1">
      <alignment vertical="center"/>
    </xf>
    <xf numFmtId="0" fontId="0" fillId="0" borderId="0" xfId="0" applyAlignment="1">
      <alignment vertical="top"/>
    </xf>
    <xf numFmtId="0" fontId="0" fillId="0" borderId="0" xfId="0" applyAlignment="1">
      <alignment horizontal="left" vertical="top" wrapText="1"/>
    </xf>
    <xf numFmtId="49" fontId="34" fillId="0" borderId="37" xfId="4" applyNumberFormat="1" applyFont="1" applyBorder="1" applyAlignment="1">
      <alignment horizontal="left" vertical="center"/>
    </xf>
    <xf numFmtId="0" fontId="34" fillId="0" borderId="34" xfId="4" applyFont="1" applyBorder="1" applyAlignment="1">
      <alignment horizontal="left" vertical="center"/>
    </xf>
    <xf numFmtId="0" fontId="34" fillId="0" borderId="36" xfId="4" applyFont="1" applyBorder="1" applyAlignment="1">
      <alignment horizontal="left" vertical="center" wrapText="1"/>
    </xf>
    <xf numFmtId="0" fontId="34" fillId="0" borderId="18" xfId="4" applyFont="1" applyBorder="1" applyAlignment="1">
      <alignment horizontal="left" vertical="center"/>
    </xf>
    <xf numFmtId="0" fontId="34" fillId="0" borderId="26" xfId="4" applyFont="1" applyBorder="1" applyAlignment="1">
      <alignment horizontal="left" vertical="center"/>
    </xf>
    <xf numFmtId="0" fontId="34" fillId="0" borderId="0" xfId="4" applyFont="1" applyAlignment="1">
      <alignment horizontal="left" vertical="center"/>
    </xf>
    <xf numFmtId="0" fontId="35" fillId="0" borderId="18" xfId="4" applyFont="1" applyBorder="1" applyAlignment="1">
      <alignment horizontal="left" vertical="center" wrapText="1"/>
    </xf>
    <xf numFmtId="0" fontId="35" fillId="0" borderId="18" xfId="4" applyFont="1" applyBorder="1" applyAlignment="1">
      <alignment horizontal="left" vertical="center"/>
    </xf>
    <xf numFmtId="0" fontId="35" fillId="0" borderId="0" xfId="4" applyFont="1" applyAlignment="1">
      <alignment horizontal="left" vertical="center"/>
    </xf>
    <xf numFmtId="0" fontId="34" fillId="0" borderId="18" xfId="4" applyFont="1" applyBorder="1" applyAlignment="1">
      <alignment horizontal="left" vertical="center" wrapText="1"/>
    </xf>
    <xf numFmtId="49" fontId="34" fillId="0" borderId="34" xfId="4" applyNumberFormat="1" applyFont="1" applyBorder="1" applyAlignment="1">
      <alignment horizontal="left" vertical="center"/>
    </xf>
    <xf numFmtId="0" fontId="34" fillId="0" borderId="26" xfId="4" applyFont="1" applyBorder="1" applyAlignment="1">
      <alignment horizontal="left" vertical="center" wrapText="1"/>
    </xf>
    <xf numFmtId="0" fontId="34" fillId="0" borderId="0" xfId="4" applyFont="1" applyAlignment="1">
      <alignment horizontal="left" vertical="center" wrapText="1"/>
    </xf>
    <xf numFmtId="0" fontId="34" fillId="0" borderId="34" xfId="4" applyFont="1" applyBorder="1" applyAlignment="1">
      <alignment horizontal="left" vertical="center" wrapText="1"/>
    </xf>
    <xf numFmtId="0" fontId="34" fillId="0" borderId="38" xfId="4" applyFont="1" applyBorder="1" applyAlignment="1">
      <alignment horizontal="left" vertical="center"/>
    </xf>
    <xf numFmtId="49" fontId="34" fillId="0" borderId="0" xfId="4" applyNumberFormat="1" applyFont="1" applyAlignment="1">
      <alignment horizontal="left" vertical="center"/>
    </xf>
    <xf numFmtId="0" fontId="34" fillId="0" borderId="10" xfId="4" applyFont="1" applyBorder="1" applyAlignment="1">
      <alignment horizontal="left" vertical="center"/>
    </xf>
    <xf numFmtId="0" fontId="34" fillId="0" borderId="6" xfId="4" applyFont="1" applyBorder="1" applyAlignment="1">
      <alignment horizontal="left" vertical="center"/>
    </xf>
    <xf numFmtId="49" fontId="36" fillId="0" borderId="43" xfId="4" applyNumberFormat="1" applyFont="1" applyBorder="1" applyAlignment="1">
      <alignment horizontal="center" vertical="center"/>
    </xf>
    <xf numFmtId="0" fontId="36" fillId="0" borderId="43" xfId="4" applyFont="1" applyBorder="1" applyAlignment="1">
      <alignment horizontal="center" vertical="center"/>
    </xf>
    <xf numFmtId="49" fontId="38" fillId="0" borderId="53" xfId="4" applyNumberFormat="1" applyFont="1" applyBorder="1" applyAlignment="1">
      <alignment horizontal="left" vertical="center"/>
    </xf>
    <xf numFmtId="0" fontId="38" fillId="0" borderId="54" xfId="4" applyFont="1" applyBorder="1" applyAlignment="1">
      <alignment horizontal="left" vertical="center"/>
    </xf>
    <xf numFmtId="49" fontId="40" fillId="0" borderId="53" xfId="4" applyNumberFormat="1" applyFont="1" applyBorder="1" applyAlignment="1">
      <alignment horizontal="left" vertical="center"/>
    </xf>
    <xf numFmtId="0" fontId="40" fillId="0" borderId="54" xfId="4" applyFont="1" applyBorder="1" applyAlignment="1">
      <alignment horizontal="left" vertical="center"/>
    </xf>
    <xf numFmtId="49" fontId="39" fillId="0" borderId="53" xfId="4" applyNumberFormat="1" applyFont="1" applyBorder="1" applyAlignment="1">
      <alignment horizontal="left" vertical="center"/>
    </xf>
    <xf numFmtId="0" fontId="39" fillId="0" borderId="54" xfId="4" applyFont="1" applyBorder="1" applyAlignment="1">
      <alignment horizontal="left" vertical="center"/>
    </xf>
    <xf numFmtId="49" fontId="39" fillId="13" borderId="53" xfId="4" applyNumberFormat="1" applyFont="1" applyFill="1" applyBorder="1" applyAlignment="1">
      <alignment horizontal="left" vertical="center"/>
    </xf>
    <xf numFmtId="0" fontId="39" fillId="13" borderId="43" xfId="4" applyFont="1" applyFill="1" applyBorder="1" applyAlignment="1">
      <alignment horizontal="left" vertical="center"/>
    </xf>
    <xf numFmtId="0" fontId="20" fillId="0" borderId="0" xfId="4" applyFont="1" applyAlignment="1">
      <alignment horizontal="left" vertical="center" wrapText="1"/>
    </xf>
    <xf numFmtId="0" fontId="20" fillId="0" borderId="0" xfId="4" applyFont="1" applyAlignment="1">
      <alignment horizontal="left" vertical="center"/>
    </xf>
    <xf numFmtId="0" fontId="20" fillId="0" borderId="34" xfId="4" applyFont="1" applyBorder="1" applyAlignment="1">
      <alignment horizontal="left" vertical="center"/>
    </xf>
    <xf numFmtId="0" fontId="3" fillId="0" borderId="53" xfId="0" applyFont="1" applyBorder="1" applyAlignment="1">
      <alignment horizontal="center" vertical="center"/>
    </xf>
    <xf numFmtId="0" fontId="3" fillId="0" borderId="43" xfId="0" applyFont="1" applyBorder="1" applyAlignment="1">
      <alignment horizontal="center" vertical="center"/>
    </xf>
    <xf numFmtId="0" fontId="3" fillId="0" borderId="54" xfId="0" applyFont="1" applyBorder="1" applyAlignment="1">
      <alignment horizontal="center" vertical="center"/>
    </xf>
    <xf numFmtId="0" fontId="20" fillId="0" borderId="36" xfId="4" applyFont="1" applyBorder="1" applyAlignment="1">
      <alignment horizontal="left" vertical="center" wrapText="1"/>
    </xf>
    <xf numFmtId="0" fontId="20" fillId="0" borderId="18" xfId="4" applyFont="1" applyBorder="1" applyAlignment="1">
      <alignment horizontal="left" vertical="center"/>
    </xf>
    <xf numFmtId="0" fontId="20" fillId="0" borderId="26" xfId="4" applyFont="1" applyBorder="1" applyAlignment="1">
      <alignment horizontal="left" vertical="center"/>
    </xf>
    <xf numFmtId="0" fontId="44" fillId="0" borderId="18" xfId="4" applyFont="1" applyBorder="1" applyAlignment="1">
      <alignment horizontal="left" vertical="center" wrapText="1"/>
    </xf>
    <xf numFmtId="0" fontId="44" fillId="0" borderId="0" xfId="4" applyFont="1" applyAlignment="1">
      <alignment horizontal="left" vertical="center"/>
    </xf>
    <xf numFmtId="49" fontId="20" fillId="0" borderId="18" xfId="4" applyNumberFormat="1" applyFont="1" applyBorder="1" applyAlignment="1">
      <alignment horizontal="left" vertical="center"/>
    </xf>
    <xf numFmtId="0" fontId="20" fillId="0" borderId="18" xfId="4" applyFont="1" applyBorder="1" applyAlignment="1">
      <alignment horizontal="left" vertical="center" wrapText="1"/>
    </xf>
    <xf numFmtId="0" fontId="20" fillId="0" borderId="37" xfId="4" applyFont="1" applyBorder="1" applyAlignment="1">
      <alignment horizontal="left" vertical="center"/>
    </xf>
    <xf numFmtId="0" fontId="20" fillId="0" borderId="26" xfId="4" applyFont="1" applyBorder="1" applyAlignment="1">
      <alignment horizontal="left" vertical="center" wrapText="1"/>
    </xf>
    <xf numFmtId="49" fontId="20" fillId="0" borderId="0" xfId="4" applyNumberFormat="1" applyFont="1" applyAlignment="1">
      <alignment horizontal="left" vertical="center"/>
    </xf>
    <xf numFmtId="0" fontId="20" fillId="0" borderId="6" xfId="4" applyFont="1" applyBorder="1" applyAlignment="1">
      <alignment horizontal="left" vertical="center"/>
    </xf>
    <xf numFmtId="0" fontId="20" fillId="0" borderId="38" xfId="4" applyFont="1" applyBorder="1" applyAlignment="1">
      <alignment horizontal="left" vertical="center"/>
    </xf>
    <xf numFmtId="0" fontId="20" fillId="0" borderId="10" xfId="4" applyFont="1" applyBorder="1" applyAlignment="1">
      <alignment horizontal="left" vertical="center"/>
    </xf>
    <xf numFmtId="49" fontId="44" fillId="0" borderId="60" xfId="4" applyNumberFormat="1" applyFont="1" applyBorder="1" applyAlignment="1">
      <alignment horizontal="left" vertical="center"/>
    </xf>
    <xf numFmtId="0" fontId="44" fillId="15" borderId="73" xfId="4" applyFont="1" applyFill="1" applyBorder="1" applyAlignment="1">
      <alignment horizontal="left" vertical="center" wrapText="1"/>
    </xf>
    <xf numFmtId="0" fontId="44" fillId="15" borderId="73" xfId="4" applyFont="1" applyFill="1" applyBorder="1" applyAlignment="1">
      <alignment horizontal="left" vertical="center"/>
    </xf>
    <xf numFmtId="0" fontId="44" fillId="15" borderId="0" xfId="4" applyFont="1" applyFill="1" applyAlignment="1">
      <alignment horizontal="left" vertical="center" wrapText="1"/>
    </xf>
    <xf numFmtId="0" fontId="44" fillId="15" borderId="0" xfId="4" applyFont="1" applyFill="1" applyAlignment="1">
      <alignment horizontal="left" vertical="center"/>
    </xf>
    <xf numFmtId="0" fontId="20" fillId="0" borderId="6" xfId="4" applyFont="1" applyBorder="1" applyAlignment="1">
      <alignment horizontal="left" vertical="center" wrapText="1"/>
    </xf>
    <xf numFmtId="0" fontId="42" fillId="0" borderId="0" xfId="0" applyFont="1" applyAlignment="1">
      <alignment horizontal="center" vertical="center"/>
    </xf>
    <xf numFmtId="49" fontId="0" fillId="0" borderId="43" xfId="0" applyNumberFormat="1" applyBorder="1" applyAlignment="1">
      <alignment vertical="center"/>
    </xf>
    <xf numFmtId="0" fontId="0" fillId="0" borderId="43" xfId="0" applyBorder="1" applyAlignment="1">
      <alignment vertical="center"/>
    </xf>
    <xf numFmtId="0" fontId="0" fillId="0" borderId="54" xfId="0" applyBorder="1" applyAlignment="1">
      <alignment vertical="center"/>
    </xf>
    <xf numFmtId="4" fontId="40" fillId="0" borderId="49" xfId="0" applyNumberFormat="1" applyFont="1" applyBorder="1" applyAlignment="1">
      <alignment horizontal="right" vertical="center"/>
    </xf>
  </cellXfs>
  <cellStyles count="5">
    <cellStyle name="Normální" xfId="0" builtinId="0"/>
    <cellStyle name="normální 2" xfId="1" xr:uid="{00000000-0005-0000-0000-000001000000}"/>
    <cellStyle name="normální 3" xfId="2" xr:uid="{2F464A67-8EED-4442-B9D1-48226EECCD2A}"/>
    <cellStyle name="Normální 4" xfId="3" xr:uid="{E1DADBF7-2038-46D7-BEF1-34B21C156929}"/>
    <cellStyle name="Normální 5" xfId="4" xr:uid="{A658E215-07A2-4C1B-A161-E64CE7ADAFBF}"/>
  </cellStyles>
  <dxfs count="0"/>
  <tableStyles count="0" defaultTableStyle="TableStyleMedium9" defaultPivotStyle="PivotStyleLight16"/>
  <colors>
    <mruColors>
      <color rgb="FF99CCFF"/>
      <color rgb="FF4BD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Picture 1">
          <a:extLst>
            <a:ext uri="{FF2B5EF4-FFF2-40B4-BE49-F238E27FC236}">
              <a16:creationId xmlns:a16="http://schemas.microsoft.com/office/drawing/2014/main" id="{62C919FC-09A3-41A3-87AC-2B244E8C5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Picture 1">
          <a:extLst>
            <a:ext uri="{FF2B5EF4-FFF2-40B4-BE49-F238E27FC236}">
              <a16:creationId xmlns:a16="http://schemas.microsoft.com/office/drawing/2014/main" id="{AC09BB39-E44F-4B7C-8621-8CF7C5811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88D8-6189-4BB5-A289-E73D625B0005}">
  <sheetPr>
    <tabColor rgb="FF4BDC44"/>
  </sheetPr>
  <dimension ref="A1:O35"/>
  <sheetViews>
    <sheetView showGridLines="0" tabSelected="1" topLeftCell="B1" zoomScaleSheetLayoutView="75" workbookViewId="0">
      <selection activeCell="N11" sqref="N11"/>
    </sheetView>
  </sheetViews>
  <sheetFormatPr defaultColWidth="9" defaultRowHeight="12.5" x14ac:dyDescent="0.25"/>
  <cols>
    <col min="1" max="1" width="8.453125" hidden="1" customWidth="1"/>
    <col min="2" max="2" width="9.1796875" customWidth="1"/>
    <col min="3" max="3" width="7.453125" customWidth="1"/>
    <col min="4" max="4" width="13.453125" customWidth="1"/>
    <col min="5" max="5" width="12.1796875" customWidth="1"/>
    <col min="6" max="6" width="11.453125" customWidth="1"/>
    <col min="7" max="9" width="12.7265625" customWidth="1"/>
    <col min="10" max="10" width="6.7265625" customWidth="1"/>
    <col min="11" max="11" width="4.26953125" customWidth="1"/>
    <col min="12" max="15" width="10.7265625" customWidth="1"/>
    <col min="52" max="52" width="93.1796875" customWidth="1"/>
  </cols>
  <sheetData>
    <row r="1" spans="1:15" ht="40" customHeight="1" x14ac:dyDescent="0.25">
      <c r="A1" s="62" t="s">
        <v>36</v>
      </c>
      <c r="B1" s="351" t="s">
        <v>1220</v>
      </c>
      <c r="C1" s="352"/>
      <c r="D1" s="352"/>
      <c r="E1" s="352"/>
      <c r="F1" s="352"/>
      <c r="G1" s="352"/>
      <c r="H1" s="352"/>
      <c r="I1" s="352"/>
      <c r="J1" s="353"/>
    </row>
    <row r="2" spans="1:15" ht="23.25" customHeight="1" x14ac:dyDescent="0.25">
      <c r="A2" s="3"/>
      <c r="B2" s="70" t="s">
        <v>38</v>
      </c>
      <c r="C2" s="71"/>
      <c r="D2" s="354" t="s">
        <v>42</v>
      </c>
      <c r="E2" s="355"/>
      <c r="F2" s="355"/>
      <c r="G2" s="355"/>
      <c r="H2" s="355"/>
      <c r="I2" s="355"/>
      <c r="J2" s="356"/>
      <c r="O2" s="1"/>
    </row>
    <row r="3" spans="1:15" ht="17.25" customHeight="1" x14ac:dyDescent="0.3">
      <c r="A3" s="3"/>
      <c r="B3" s="74" t="s">
        <v>40</v>
      </c>
      <c r="C3" s="75"/>
      <c r="D3" s="76"/>
      <c r="E3" s="76"/>
      <c r="F3" s="77"/>
      <c r="G3" s="77"/>
      <c r="H3" s="77"/>
      <c r="I3" s="77"/>
      <c r="J3" s="78"/>
    </row>
    <row r="4" spans="1:15" ht="24" customHeight="1" x14ac:dyDescent="0.25">
      <c r="A4" s="3"/>
      <c r="B4" s="39" t="s">
        <v>21</v>
      </c>
      <c r="D4" s="79" t="s">
        <v>620</v>
      </c>
      <c r="E4" s="22"/>
      <c r="F4" s="22"/>
      <c r="G4" s="22"/>
      <c r="H4" s="24" t="s">
        <v>33</v>
      </c>
      <c r="I4" s="79" t="s">
        <v>621</v>
      </c>
      <c r="J4" s="9"/>
    </row>
    <row r="5" spans="1:15" ht="15.75" customHeight="1" x14ac:dyDescent="0.25">
      <c r="A5" s="3"/>
      <c r="B5" s="34"/>
      <c r="C5" s="22"/>
      <c r="D5" s="79" t="s">
        <v>622</v>
      </c>
      <c r="E5" s="22"/>
      <c r="F5" s="22"/>
      <c r="G5" s="22"/>
      <c r="H5" s="24" t="s">
        <v>34</v>
      </c>
      <c r="I5" s="79" t="s">
        <v>623</v>
      </c>
      <c r="J5" s="9"/>
    </row>
    <row r="6" spans="1:15" ht="15.75" customHeight="1" x14ac:dyDescent="0.25">
      <c r="A6" s="3"/>
      <c r="B6" s="35"/>
      <c r="C6" s="80"/>
      <c r="D6" s="69"/>
      <c r="E6" s="29"/>
      <c r="F6" s="29"/>
      <c r="G6" s="29"/>
      <c r="H6" s="30"/>
      <c r="I6" s="29"/>
      <c r="J6" s="42"/>
    </row>
    <row r="7" spans="1:15" ht="24" customHeight="1" x14ac:dyDescent="0.25">
      <c r="A7" s="3"/>
      <c r="B7" s="39" t="s">
        <v>18</v>
      </c>
      <c r="D7" s="357"/>
      <c r="E7" s="357"/>
      <c r="F7" s="357"/>
      <c r="G7" s="357"/>
      <c r="H7" s="24" t="s">
        <v>33</v>
      </c>
      <c r="I7" s="81"/>
      <c r="J7" s="9"/>
    </row>
    <row r="8" spans="1:15" ht="15.75" customHeight="1" x14ac:dyDescent="0.25">
      <c r="A8" s="3"/>
      <c r="B8" s="34"/>
      <c r="C8" s="22"/>
      <c r="D8" s="358"/>
      <c r="E8" s="358"/>
      <c r="F8" s="358"/>
      <c r="G8" s="358"/>
      <c r="H8" s="24" t="s">
        <v>34</v>
      </c>
      <c r="I8" s="81"/>
      <c r="J8" s="9"/>
    </row>
    <row r="9" spans="1:15" ht="15.75" customHeight="1" x14ac:dyDescent="0.25">
      <c r="A9" s="3"/>
      <c r="B9" s="35"/>
      <c r="C9" s="82"/>
      <c r="D9" s="359"/>
      <c r="E9" s="359"/>
      <c r="F9" s="359"/>
      <c r="G9" s="359"/>
      <c r="H9" s="25"/>
      <c r="I9" s="29"/>
      <c r="J9" s="42"/>
    </row>
    <row r="10" spans="1:15" ht="24" hidden="1" customHeight="1" x14ac:dyDescent="0.25">
      <c r="A10" s="3"/>
      <c r="B10" s="55" t="s">
        <v>20</v>
      </c>
      <c r="C10" s="56"/>
      <c r="D10" s="57"/>
      <c r="E10" s="58"/>
      <c r="F10" s="58"/>
      <c r="G10" s="58"/>
      <c r="H10" s="59"/>
      <c r="I10" s="58"/>
      <c r="J10" s="60"/>
    </row>
    <row r="11" spans="1:15" ht="32.25" customHeight="1" x14ac:dyDescent="0.25">
      <c r="A11" s="3"/>
      <c r="B11" s="43" t="s">
        <v>31</v>
      </c>
      <c r="C11" s="61"/>
      <c r="D11" s="15"/>
      <c r="E11" s="360"/>
      <c r="F11" s="360"/>
      <c r="G11" s="361"/>
      <c r="H11" s="361"/>
      <c r="I11" s="361" t="s">
        <v>28</v>
      </c>
      <c r="J11" s="362"/>
    </row>
    <row r="12" spans="1:15" ht="23.25" customHeight="1" x14ac:dyDescent="0.25">
      <c r="A12" s="129" t="s">
        <v>24</v>
      </c>
      <c r="B12" s="130" t="s">
        <v>624</v>
      </c>
      <c r="C12" s="208"/>
      <c r="D12" s="209"/>
      <c r="E12" s="347"/>
      <c r="F12" s="348"/>
      <c r="G12" s="347"/>
      <c r="H12" s="348"/>
      <c r="I12" s="349">
        <f>SUM('Rekapitulace IN'!D6:D8)</f>
        <v>0</v>
      </c>
      <c r="J12" s="350"/>
    </row>
    <row r="13" spans="1:15" ht="23.25" customHeight="1" x14ac:dyDescent="0.25">
      <c r="A13" s="129" t="s">
        <v>96</v>
      </c>
      <c r="B13" s="130" t="s">
        <v>625</v>
      </c>
      <c r="C13" s="208"/>
      <c r="D13" s="209"/>
      <c r="E13" s="347"/>
      <c r="F13" s="348"/>
      <c r="G13" s="347"/>
      <c r="H13" s="348"/>
      <c r="I13" s="349">
        <f>'Rekapitulace IN'!$D$16</f>
        <v>0</v>
      </c>
      <c r="J13" s="350"/>
    </row>
    <row r="14" spans="1:15" ht="23.25" customHeight="1" x14ac:dyDescent="0.3">
      <c r="A14" s="3"/>
      <c r="B14" s="63" t="s">
        <v>28</v>
      </c>
      <c r="C14" s="210"/>
      <c r="D14" s="211"/>
      <c r="E14" s="363"/>
      <c r="F14" s="364"/>
      <c r="G14" s="363"/>
      <c r="H14" s="364"/>
      <c r="I14" s="365">
        <f>SUM(I12:J13)</f>
        <v>0</v>
      </c>
      <c r="J14" s="366"/>
    </row>
    <row r="15" spans="1:15" ht="33" customHeight="1" x14ac:dyDescent="0.25">
      <c r="A15" s="3"/>
      <c r="B15" s="54" t="s">
        <v>32</v>
      </c>
      <c r="C15" s="208"/>
      <c r="D15" s="209"/>
      <c r="E15" s="212"/>
      <c r="F15" s="213"/>
      <c r="G15" s="214"/>
      <c r="H15" s="214"/>
      <c r="I15" s="214"/>
      <c r="J15" s="51"/>
    </row>
    <row r="16" spans="1:15" ht="23.25" customHeight="1" x14ac:dyDescent="0.25">
      <c r="A16" s="3"/>
      <c r="B16" s="46" t="s">
        <v>11</v>
      </c>
      <c r="C16" s="208"/>
      <c r="D16" s="209"/>
      <c r="E16" s="215">
        <v>12</v>
      </c>
      <c r="F16" s="213" t="s">
        <v>0</v>
      </c>
      <c r="G16" s="374">
        <v>0</v>
      </c>
      <c r="H16" s="375"/>
      <c r="I16" s="375"/>
      <c r="J16" s="51" t="str">
        <f t="shared" ref="J16:J21" si="0">Mena</f>
        <v>CZK</v>
      </c>
    </row>
    <row r="17" spans="1:10" ht="23.25" customHeight="1" x14ac:dyDescent="0.25">
      <c r="A17" s="3"/>
      <c r="B17" s="46" t="s">
        <v>12</v>
      </c>
      <c r="C17" s="208"/>
      <c r="D17" s="209"/>
      <c r="E17" s="215">
        <v>12</v>
      </c>
      <c r="F17" s="213" t="s">
        <v>0</v>
      </c>
      <c r="G17" s="376">
        <v>0</v>
      </c>
      <c r="H17" s="377"/>
      <c r="I17" s="377"/>
      <c r="J17" s="51" t="str">
        <f t="shared" si="0"/>
        <v>CZK</v>
      </c>
    </row>
    <row r="18" spans="1:10" ht="23.25" customHeight="1" x14ac:dyDescent="0.25">
      <c r="A18" s="3"/>
      <c r="B18" s="46" t="s">
        <v>13</v>
      </c>
      <c r="C18" s="208"/>
      <c r="D18" s="209"/>
      <c r="E18" s="215">
        <v>21</v>
      </c>
      <c r="F18" s="213" t="s">
        <v>0</v>
      </c>
      <c r="G18" s="378">
        <f>I14</f>
        <v>0</v>
      </c>
      <c r="H18" s="379"/>
      <c r="I18" s="379"/>
      <c r="J18" s="51" t="str">
        <f t="shared" si="0"/>
        <v>CZK</v>
      </c>
    </row>
    <row r="19" spans="1:10" ht="23.25" customHeight="1" x14ac:dyDescent="0.25">
      <c r="A19" s="3"/>
      <c r="B19" s="40" t="s">
        <v>14</v>
      </c>
      <c r="C19" s="19"/>
      <c r="D19" s="15"/>
      <c r="E19" s="36">
        <v>21</v>
      </c>
      <c r="F19" s="37" t="s">
        <v>0</v>
      </c>
      <c r="G19" s="380">
        <f>I14*21/100</f>
        <v>0</v>
      </c>
      <c r="H19" s="381"/>
      <c r="I19" s="381"/>
      <c r="J19" s="45" t="str">
        <f t="shared" si="0"/>
        <v>CZK</v>
      </c>
    </row>
    <row r="20" spans="1:10" ht="23.25" customHeight="1" thickBot="1" x14ac:dyDescent="0.3">
      <c r="A20" s="3"/>
      <c r="B20" s="39" t="s">
        <v>4</v>
      </c>
      <c r="C20" s="17"/>
      <c r="D20" s="20"/>
      <c r="E20" s="17"/>
      <c r="F20" s="18"/>
      <c r="G20" s="382">
        <f>0</f>
        <v>0</v>
      </c>
      <c r="H20" s="382"/>
      <c r="I20" s="382"/>
      <c r="J20" s="52" t="str">
        <f t="shared" si="0"/>
        <v>CZK</v>
      </c>
    </row>
    <row r="21" spans="1:10" ht="27.75" hidden="1" customHeight="1" thickBot="1" x14ac:dyDescent="0.3">
      <c r="A21" s="3"/>
      <c r="B21" s="101" t="s">
        <v>22</v>
      </c>
      <c r="C21" s="102"/>
      <c r="D21" s="102"/>
      <c r="E21" s="103"/>
      <c r="F21" s="104"/>
      <c r="G21" s="383">
        <f>ZakladDPHSniVypocet+ZakladDPHZaklVypocet</f>
        <v>0</v>
      </c>
      <c r="H21" s="383"/>
      <c r="I21" s="383"/>
      <c r="J21" s="105" t="str">
        <f t="shared" si="0"/>
        <v>CZK</v>
      </c>
    </row>
    <row r="22" spans="1:10" ht="27.75" customHeight="1" thickBot="1" x14ac:dyDescent="0.3">
      <c r="A22" s="3"/>
      <c r="B22" s="101" t="s">
        <v>35</v>
      </c>
      <c r="C22" s="106"/>
      <c r="D22" s="106"/>
      <c r="E22" s="106"/>
      <c r="F22" s="106"/>
      <c r="G22" s="367">
        <f>SUM(G16:I21)</f>
        <v>0</v>
      </c>
      <c r="H22" s="367"/>
      <c r="I22" s="367"/>
      <c r="J22" s="107" t="s">
        <v>45</v>
      </c>
    </row>
    <row r="23" spans="1:10" ht="12.75" customHeight="1" x14ac:dyDescent="0.25">
      <c r="A23" s="3"/>
      <c r="B23" s="3"/>
      <c r="J23" s="10"/>
    </row>
    <row r="24" spans="1:10" ht="30" customHeight="1" x14ac:dyDescent="0.25">
      <c r="A24" s="3"/>
      <c r="B24" s="3"/>
      <c r="J24" s="10"/>
    </row>
    <row r="25" spans="1:10" ht="18.75" customHeight="1" x14ac:dyDescent="0.25">
      <c r="A25" s="3"/>
      <c r="B25" s="21"/>
      <c r="C25" s="16" t="s">
        <v>10</v>
      </c>
      <c r="D25" s="32"/>
      <c r="E25" s="32"/>
      <c r="F25" s="16" t="s">
        <v>9</v>
      </c>
      <c r="G25" s="32"/>
      <c r="H25" s="33"/>
      <c r="I25" s="32"/>
      <c r="J25" s="10"/>
    </row>
    <row r="26" spans="1:10" ht="47.25" customHeight="1" x14ac:dyDescent="0.25">
      <c r="A26" s="3"/>
      <c r="B26" s="3"/>
      <c r="J26" s="10"/>
    </row>
    <row r="27" spans="1:10" s="27" customFormat="1" ht="18.75" customHeight="1" x14ac:dyDescent="0.3">
      <c r="A27" s="26"/>
      <c r="B27" s="26"/>
      <c r="D27" s="216"/>
      <c r="E27" s="216"/>
      <c r="G27" s="216"/>
      <c r="H27" s="216"/>
      <c r="I27" s="216"/>
      <c r="J27" s="31"/>
    </row>
    <row r="28" spans="1:10" ht="12.75" customHeight="1" x14ac:dyDescent="0.25">
      <c r="A28" s="3"/>
      <c r="B28" s="3"/>
      <c r="D28" s="368" t="s">
        <v>2</v>
      </c>
      <c r="E28" s="368"/>
      <c r="H28" s="11" t="s">
        <v>3</v>
      </c>
      <c r="J28" s="10"/>
    </row>
    <row r="29" spans="1:10" ht="13.5" customHeight="1" thickBot="1" x14ac:dyDescent="0.3">
      <c r="A29" s="12"/>
      <c r="B29" s="12"/>
      <c r="C29" s="13"/>
      <c r="D29" s="13"/>
      <c r="E29" s="13"/>
      <c r="F29" s="13"/>
      <c r="G29" s="13"/>
      <c r="H29" s="13"/>
      <c r="I29" s="13"/>
      <c r="J29" s="14"/>
    </row>
    <row r="30" spans="1:10" ht="27" hidden="1" customHeight="1" x14ac:dyDescent="0.4">
      <c r="B30" s="66" t="s">
        <v>15</v>
      </c>
      <c r="C30" s="2"/>
      <c r="D30" s="2"/>
      <c r="E30" s="2"/>
      <c r="F30" s="93"/>
      <c r="G30" s="93"/>
      <c r="H30" s="93"/>
      <c r="I30" s="93"/>
      <c r="J30" s="2"/>
    </row>
    <row r="31" spans="1:10" ht="25.5" hidden="1" customHeight="1" x14ac:dyDescent="0.25">
      <c r="A31" s="85" t="s">
        <v>37</v>
      </c>
      <c r="B31" s="217" t="s">
        <v>16</v>
      </c>
      <c r="C31" s="88" t="s">
        <v>5</v>
      </c>
      <c r="D31" s="89"/>
      <c r="E31" s="89"/>
      <c r="F31" s="218" t="str">
        <f>B16</f>
        <v>Základ pro sníženou DPH</v>
      </c>
      <c r="G31" s="218" t="str">
        <f>B18</f>
        <v>Základ pro základní DPH</v>
      </c>
      <c r="H31" s="219" t="s">
        <v>17</v>
      </c>
      <c r="I31" s="219" t="s">
        <v>1</v>
      </c>
      <c r="J31" s="220" t="s">
        <v>0</v>
      </c>
    </row>
    <row r="32" spans="1:10" ht="25.5" hidden="1" customHeight="1" x14ac:dyDescent="0.25">
      <c r="A32" s="85">
        <v>1</v>
      </c>
      <c r="B32" s="221" t="s">
        <v>43</v>
      </c>
      <c r="C32" s="369" t="s">
        <v>626</v>
      </c>
      <c r="D32" s="370"/>
      <c r="E32" s="370"/>
      <c r="F32" s="222"/>
      <c r="G32" s="223"/>
      <c r="H32" s="224">
        <f>(F32*SazbaDPH1/100)+(G32*SazbaDPH2/100)</f>
        <v>0</v>
      </c>
      <c r="I32" s="224">
        <f>F32+G32+H32</f>
        <v>0</v>
      </c>
      <c r="J32" s="225" t="str">
        <f>IF(CenaCelkemVypocet=0,"",I32/CenaCelkemVypocet*100)</f>
        <v/>
      </c>
    </row>
    <row r="33" spans="1:10" ht="25.5" hidden="1" customHeight="1" x14ac:dyDescent="0.25">
      <c r="A33" s="85"/>
      <c r="B33" s="371" t="s">
        <v>44</v>
      </c>
      <c r="C33" s="372"/>
      <c r="D33" s="372"/>
      <c r="E33" s="373"/>
      <c r="F33" s="226">
        <f>SUMIF(A32:A32,"=1",F32:F32)</f>
        <v>0</v>
      </c>
      <c r="G33" s="227">
        <f>SUMIF(A32:A32,"=1",G32:G32)</f>
        <v>0</v>
      </c>
      <c r="H33" s="227">
        <f>SUMIF(A32:A32,"=1",H32:H32)</f>
        <v>0</v>
      </c>
      <c r="I33" s="227">
        <f>SUMIF(A32:A32,"=1",I32:I32)</f>
        <v>0</v>
      </c>
      <c r="J33" s="228">
        <f>SUMIF(A32:A32,"=1",J32:J32)</f>
        <v>0</v>
      </c>
    </row>
    <row r="35" spans="1:10" x14ac:dyDescent="0.25">
      <c r="F35" s="84"/>
      <c r="G35" s="84"/>
      <c r="H35" s="84"/>
      <c r="I35" s="84"/>
      <c r="J35" s="84"/>
    </row>
  </sheetData>
  <sheetProtection algorithmName="SHA-512" hashValue="QtJzOQsCrPvHi+IaMJ2b4eRrdptN+W3lj+CVUlEnOgzKCFBbyRHpMVvMpjUst+1mZ9bkVE9AeLF/mcDhLEtK2Q==" saltValue="c8nF5RvpJWVjMJjdxm7O0w==" spinCount="100000" sheet="1" objects="1" scenarios="1"/>
  <protectedRanges>
    <protectedRange sqref="D7:G9 C9 I7:I8" name="Oblast1"/>
  </protectedRanges>
  <mergeCells count="27">
    <mergeCell ref="G22:I22"/>
    <mergeCell ref="D28:E28"/>
    <mergeCell ref="C32:E32"/>
    <mergeCell ref="B33:E33"/>
    <mergeCell ref="G16:I16"/>
    <mergeCell ref="G17:I17"/>
    <mergeCell ref="G18:I18"/>
    <mergeCell ref="G19:I19"/>
    <mergeCell ref="G20:I20"/>
    <mergeCell ref="G21:I21"/>
    <mergeCell ref="E13:F13"/>
    <mergeCell ref="G13:H13"/>
    <mergeCell ref="I13:J13"/>
    <mergeCell ref="E14:F14"/>
    <mergeCell ref="G14:H14"/>
    <mergeCell ref="I14:J14"/>
    <mergeCell ref="E12:F12"/>
    <mergeCell ref="G12:H12"/>
    <mergeCell ref="I12:J12"/>
    <mergeCell ref="B1:J1"/>
    <mergeCell ref="D2:J2"/>
    <mergeCell ref="D7:G7"/>
    <mergeCell ref="D8:G8"/>
    <mergeCell ref="D9:G9"/>
    <mergeCell ref="E11:F11"/>
    <mergeCell ref="G11:H11"/>
    <mergeCell ref="I11:J11"/>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29"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CB5B-A1CE-417A-80D6-81C4268F7E6D}">
  <sheetPr transitionEvaluation="1"/>
  <dimension ref="B1:N21"/>
  <sheetViews>
    <sheetView workbookViewId="0">
      <selection activeCell="G16" sqref="G16"/>
    </sheetView>
  </sheetViews>
  <sheetFormatPr defaultColWidth="9.1796875" defaultRowHeight="12.5" x14ac:dyDescent="0.25"/>
  <cols>
    <col min="1" max="1" width="0.1796875" style="229" customWidth="1"/>
    <col min="2" max="2" width="9.7265625" style="245" customWidth="1"/>
    <col min="3" max="3" width="48.54296875" style="245" bestFit="1" customWidth="1"/>
    <col min="4" max="4" width="18.08984375" style="245" customWidth="1"/>
    <col min="5" max="5" width="16.26953125" style="245" hidden="1" customWidth="1"/>
    <col min="6" max="6" width="20.54296875" style="245" customWidth="1"/>
    <col min="7" max="7" width="23.54296875" style="245" customWidth="1"/>
    <col min="8" max="12" width="9.1796875" style="229"/>
    <col min="13" max="14" width="12.7265625" style="229" bestFit="1" customWidth="1"/>
    <col min="15" max="16384" width="9.1796875" style="229"/>
  </cols>
  <sheetData>
    <row r="1" spans="2:14" ht="40" customHeight="1" thickBot="1" x14ac:dyDescent="0.3">
      <c r="B1" s="384" t="s">
        <v>627</v>
      </c>
      <c r="C1" s="384"/>
      <c r="D1" s="384"/>
      <c r="E1" s="384"/>
      <c r="F1" s="384"/>
      <c r="G1" s="384"/>
    </row>
    <row r="2" spans="2:14" ht="19.149999999999999" customHeight="1" x14ac:dyDescent="0.25">
      <c r="B2" s="385" t="s">
        <v>628</v>
      </c>
      <c r="C2" s="386"/>
      <c r="D2" s="389" t="s">
        <v>629</v>
      </c>
      <c r="E2" s="389" t="s">
        <v>630</v>
      </c>
      <c r="F2" s="389" t="s">
        <v>631</v>
      </c>
      <c r="G2" s="389" t="s">
        <v>632</v>
      </c>
    </row>
    <row r="3" spans="2:14" ht="19.149999999999999" customHeight="1" thickBot="1" x14ac:dyDescent="0.3">
      <c r="B3" s="387"/>
      <c r="C3" s="388"/>
      <c r="D3" s="390"/>
      <c r="E3" s="391"/>
      <c r="F3" s="391"/>
      <c r="G3" s="390"/>
    </row>
    <row r="4" spans="2:14" ht="19.149999999999999" customHeight="1" x14ac:dyDescent="0.25">
      <c r="B4" s="396"/>
      <c r="C4" s="397"/>
      <c r="D4" s="230"/>
      <c r="E4" s="231"/>
      <c r="F4" s="230"/>
      <c r="G4" s="232"/>
    </row>
    <row r="5" spans="2:14" ht="19.149999999999999" customHeight="1" x14ac:dyDescent="0.25">
      <c r="B5" s="398" t="s">
        <v>639</v>
      </c>
      <c r="C5" s="399"/>
      <c r="D5" s="235"/>
      <c r="E5" s="236"/>
      <c r="F5" s="236"/>
      <c r="G5" s="236"/>
    </row>
    <row r="6" spans="2:14" ht="19.149999999999999" customHeight="1" x14ac:dyDescent="0.25">
      <c r="B6" s="233"/>
      <c r="C6" s="234" t="s">
        <v>640</v>
      </c>
      <c r="D6" s="297" cm="1">
        <f t="array" ref="D6:E6">'KL D.1.1. ASŘ'!I18:J18</f>
        <v>0</v>
      </c>
      <c r="E6" s="298">
        <v>0</v>
      </c>
      <c r="F6" s="298">
        <f>ROUND(0.21*D6,2)</f>
        <v>0</v>
      </c>
      <c r="G6" s="298">
        <f>ROUND(D6+F6,2)</f>
        <v>0</v>
      </c>
    </row>
    <row r="7" spans="2:14" ht="19.149999999999999" customHeight="1" x14ac:dyDescent="0.25">
      <c r="B7" s="233"/>
      <c r="C7" s="234" t="s">
        <v>641</v>
      </c>
      <c r="D7" s="297">
        <f>'KL D.1.4.1 ZTI'!C29</f>
        <v>0</v>
      </c>
      <c r="E7" s="298"/>
      <c r="F7" s="298">
        <f>ROUND(0.21*D7,2)</f>
        <v>0</v>
      </c>
      <c r="G7" s="298">
        <f>ROUND(D7+F7,2)</f>
        <v>0</v>
      </c>
      <c r="I7" s="237"/>
    </row>
    <row r="8" spans="2:14" ht="19.149999999999999" customHeight="1" thickBot="1" x14ac:dyDescent="0.3">
      <c r="B8" s="233"/>
      <c r="C8" s="234" t="s">
        <v>642</v>
      </c>
      <c r="D8" s="297">
        <f>'KL D.1.4.2 ELE+SLP'!C25</f>
        <v>0</v>
      </c>
      <c r="E8" s="298"/>
      <c r="F8" s="298">
        <f>ROUND(0.21*D8,2)</f>
        <v>0</v>
      </c>
      <c r="G8" s="298">
        <f>ROUND(D8+F8,2)</f>
        <v>0</v>
      </c>
      <c r="I8" s="237"/>
    </row>
    <row r="9" spans="2:14" ht="19.149999999999999" customHeight="1" thickBot="1" x14ac:dyDescent="0.3">
      <c r="B9" s="400" t="s">
        <v>633</v>
      </c>
      <c r="C9" s="401"/>
      <c r="D9" s="299">
        <f>SUM(D5:D8)</f>
        <v>0</v>
      </c>
      <c r="E9" s="299"/>
      <c r="F9" s="299">
        <f>SUM(F5:F8)</f>
        <v>0</v>
      </c>
      <c r="G9" s="299">
        <f>SUM(G5:G8)</f>
        <v>0</v>
      </c>
      <c r="J9" s="238"/>
      <c r="M9" s="239"/>
      <c r="N9" s="239"/>
    </row>
    <row r="10" spans="2:14" ht="14" x14ac:dyDescent="0.25">
      <c r="B10" s="240"/>
      <c r="C10" s="240"/>
      <c r="D10" s="241"/>
      <c r="E10" s="241"/>
      <c r="F10" s="241"/>
      <c r="G10" s="241"/>
      <c r="M10" s="242"/>
      <c r="N10" s="242"/>
    </row>
    <row r="11" spans="2:14" ht="14.5" thickBot="1" x14ac:dyDescent="0.3">
      <c r="B11" s="240"/>
      <c r="C11" s="240"/>
      <c r="D11" s="241"/>
      <c r="E11" s="241"/>
      <c r="F11" s="241"/>
      <c r="G11" s="241"/>
    </row>
    <row r="12" spans="2:14" ht="23.25" customHeight="1" x14ac:dyDescent="0.25">
      <c r="B12" s="385" t="s">
        <v>634</v>
      </c>
      <c r="C12" s="386"/>
      <c r="D12" s="389" t="s">
        <v>629</v>
      </c>
      <c r="E12" s="389" t="s">
        <v>630</v>
      </c>
      <c r="F12" s="389" t="s">
        <v>631</v>
      </c>
      <c r="G12" s="389" t="s">
        <v>632</v>
      </c>
    </row>
    <row r="13" spans="2:14" ht="19.149999999999999" customHeight="1" thickBot="1" x14ac:dyDescent="0.3">
      <c r="B13" s="387"/>
      <c r="C13" s="388"/>
      <c r="D13" s="390"/>
      <c r="E13" s="391"/>
      <c r="F13" s="391"/>
      <c r="G13" s="390"/>
    </row>
    <row r="14" spans="2:14" ht="19.149999999999999" customHeight="1" x14ac:dyDescent="0.25">
      <c r="B14" s="392" t="s">
        <v>635</v>
      </c>
      <c r="C14" s="393"/>
      <c r="D14" s="300">
        <f>VRN!G35</f>
        <v>0</v>
      </c>
      <c r="E14" s="301"/>
      <c r="F14" s="298">
        <f>ROUND(0.21*D14,2)</f>
        <v>0</v>
      </c>
      <c r="G14" s="302">
        <f>D14+F14</f>
        <v>0</v>
      </c>
    </row>
    <row r="15" spans="2:14" ht="19.149999999999999" customHeight="1" thickBot="1" x14ac:dyDescent="0.3">
      <c r="B15" s="394"/>
      <c r="C15" s="395"/>
      <c r="D15" s="303"/>
      <c r="E15" s="304"/>
      <c r="F15" s="298"/>
      <c r="G15" s="305"/>
    </row>
    <row r="16" spans="2:14" ht="19.149999999999999" customHeight="1" thickBot="1" x14ac:dyDescent="0.3">
      <c r="B16" s="407" t="s">
        <v>636</v>
      </c>
      <c r="C16" s="408"/>
      <c r="D16" s="306">
        <f>D14+D15</f>
        <v>0</v>
      </c>
      <c r="E16" s="299"/>
      <c r="F16" s="299">
        <f>F14+F15</f>
        <v>0</v>
      </c>
      <c r="G16" s="307">
        <f>G14+G15</f>
        <v>0</v>
      </c>
    </row>
    <row r="17" spans="2:7" x14ac:dyDescent="0.25">
      <c r="B17" s="243"/>
      <c r="C17" s="243"/>
      <c r="D17" s="244"/>
      <c r="E17" s="244"/>
      <c r="F17" s="244"/>
      <c r="G17" s="244"/>
    </row>
    <row r="18" spans="2:7" ht="13" thickBot="1" x14ac:dyDescent="0.3">
      <c r="B18" s="243"/>
      <c r="C18" s="243"/>
      <c r="D18" s="244"/>
      <c r="E18" s="244"/>
      <c r="F18" s="244"/>
      <c r="G18" s="244"/>
    </row>
    <row r="19" spans="2:7" ht="19.149999999999999" customHeight="1" x14ac:dyDescent="0.25">
      <c r="B19" s="409" t="s">
        <v>637</v>
      </c>
      <c r="C19" s="410"/>
      <c r="D19" s="402" t="s">
        <v>629</v>
      </c>
      <c r="E19" s="402" t="s">
        <v>630</v>
      </c>
      <c r="F19" s="402" t="s">
        <v>631</v>
      </c>
      <c r="G19" s="402" t="s">
        <v>632</v>
      </c>
    </row>
    <row r="20" spans="2:7" ht="19.149999999999999" customHeight="1" thickBot="1" x14ac:dyDescent="0.3">
      <c r="B20" s="411"/>
      <c r="C20" s="412"/>
      <c r="D20" s="404"/>
      <c r="E20" s="403"/>
      <c r="F20" s="403"/>
      <c r="G20" s="404"/>
    </row>
    <row r="21" spans="2:7" ht="19.5" customHeight="1" thickBot="1" x14ac:dyDescent="0.3">
      <c r="B21" s="405" t="s">
        <v>638</v>
      </c>
      <c r="C21" s="406"/>
      <c r="D21" s="308">
        <f>D9+D16</f>
        <v>0</v>
      </c>
      <c r="E21" s="309"/>
      <c r="F21" s="309">
        <f>F9+F16</f>
        <v>0</v>
      </c>
      <c r="G21" s="296">
        <f>G9+G16</f>
        <v>0</v>
      </c>
    </row>
  </sheetData>
  <sheetProtection algorithmName="SHA-512" hashValue="z7cDX9nGN2qcdybmNFB+nlPwKdBvO0IqJ67tN8n20bblISKaoNM25j3USXXYMyTvq8kyLyjZtMy/kYVeFpfClw==" saltValue="u5Cpjyebi6s7x6hTMCPE/Q==" spinCount="100000" sheet="1" objects="1" scenarios="1"/>
  <mergeCells count="23">
    <mergeCell ref="B21:C21"/>
    <mergeCell ref="B16:C16"/>
    <mergeCell ref="B19:C20"/>
    <mergeCell ref="D19:D20"/>
    <mergeCell ref="E19:E20"/>
    <mergeCell ref="F19:F20"/>
    <mergeCell ref="G19:G20"/>
    <mergeCell ref="D12:D13"/>
    <mergeCell ref="E12:E13"/>
    <mergeCell ref="F12:F13"/>
    <mergeCell ref="G12:G13"/>
    <mergeCell ref="B14:C14"/>
    <mergeCell ref="B15:C15"/>
    <mergeCell ref="B4:C4"/>
    <mergeCell ref="B5:C5"/>
    <mergeCell ref="B9:C9"/>
    <mergeCell ref="B12:C13"/>
    <mergeCell ref="B1:G1"/>
    <mergeCell ref="B2:C3"/>
    <mergeCell ref="D2:D3"/>
    <mergeCell ref="E2:E3"/>
    <mergeCell ref="F2:F3"/>
    <mergeCell ref="G2:G3"/>
  </mergeCells>
  <printOptions horizontalCentered="1"/>
  <pageMargins left="0.23622047244094491" right="0.23622047244094491" top="0.74803149606299213" bottom="0.74803149606299213" header="0.31496062992125984" footer="0.31496062992125984"/>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4BDC44"/>
  </sheetPr>
  <dimension ref="A1:AZ67"/>
  <sheetViews>
    <sheetView showGridLines="0" topLeftCell="B24" zoomScaleNormal="100" zoomScaleSheetLayoutView="75" workbookViewId="0">
      <selection activeCell="F58" sqref="F58"/>
    </sheetView>
  </sheetViews>
  <sheetFormatPr defaultColWidth="9" defaultRowHeight="12.5" x14ac:dyDescent="0.25"/>
  <cols>
    <col min="1" max="1" width="8.453125" hidden="1" customWidth="1"/>
    <col min="2" max="2" width="9.1796875" customWidth="1"/>
    <col min="3" max="3" width="7.453125" customWidth="1"/>
    <col min="4" max="4" width="13.453125" customWidth="1"/>
    <col min="5" max="5" width="12.1796875" customWidth="1"/>
    <col min="6" max="6" width="11.453125" customWidth="1"/>
    <col min="7" max="9" width="12.7265625" customWidth="1"/>
    <col min="10" max="10" width="6.7265625" customWidth="1"/>
    <col min="11" max="11" width="4.26953125" customWidth="1"/>
    <col min="12" max="15" width="10.7265625" customWidth="1"/>
    <col min="52" max="52" width="93.1796875" customWidth="1"/>
  </cols>
  <sheetData>
    <row r="1" spans="1:15" ht="40" customHeight="1" x14ac:dyDescent="0.25">
      <c r="A1" s="62" t="s">
        <v>36</v>
      </c>
      <c r="B1" s="351" t="s">
        <v>1215</v>
      </c>
      <c r="C1" s="352"/>
      <c r="D1" s="352"/>
      <c r="E1" s="352"/>
      <c r="F1" s="352"/>
      <c r="G1" s="352"/>
      <c r="H1" s="352"/>
      <c r="I1" s="352"/>
      <c r="J1" s="353"/>
    </row>
    <row r="2" spans="1:15" ht="23.25" customHeight="1" x14ac:dyDescent="0.25">
      <c r="A2" s="3"/>
      <c r="B2" s="70" t="s">
        <v>38</v>
      </c>
      <c r="C2" s="71"/>
      <c r="D2" s="446" t="s">
        <v>42</v>
      </c>
      <c r="E2" s="447"/>
      <c r="F2" s="447"/>
      <c r="G2" s="447"/>
      <c r="H2" s="447"/>
      <c r="I2" s="447"/>
      <c r="J2" s="448"/>
      <c r="O2" s="1"/>
    </row>
    <row r="3" spans="1:15" ht="23.25" hidden="1" customHeight="1" x14ac:dyDescent="0.25">
      <c r="A3" s="3"/>
      <c r="B3" s="72" t="s">
        <v>40</v>
      </c>
      <c r="C3" s="73"/>
      <c r="D3" s="423"/>
      <c r="E3" s="424"/>
      <c r="F3" s="424"/>
      <c r="G3" s="424"/>
      <c r="H3" s="424"/>
      <c r="I3" s="424"/>
      <c r="J3" s="425"/>
    </row>
    <row r="4" spans="1:15" ht="23.25" hidden="1" customHeight="1" x14ac:dyDescent="0.3">
      <c r="A4" s="3"/>
      <c r="B4" s="74" t="s">
        <v>41</v>
      </c>
      <c r="C4" s="75"/>
      <c r="D4" s="76"/>
      <c r="E4" s="76"/>
      <c r="F4" s="77"/>
      <c r="G4" s="77"/>
      <c r="H4" s="77"/>
      <c r="I4" s="77"/>
      <c r="J4" s="78"/>
    </row>
    <row r="5" spans="1:15" ht="24" customHeight="1" x14ac:dyDescent="0.25">
      <c r="A5" s="3"/>
      <c r="B5" s="39" t="s">
        <v>21</v>
      </c>
      <c r="D5" s="79" t="s">
        <v>620</v>
      </c>
      <c r="E5" s="22"/>
      <c r="F5" s="22"/>
      <c r="G5" s="22"/>
      <c r="H5" s="24" t="s">
        <v>33</v>
      </c>
      <c r="I5" s="79" t="s">
        <v>621</v>
      </c>
      <c r="J5" s="9"/>
    </row>
    <row r="6" spans="1:15" ht="15.75" customHeight="1" x14ac:dyDescent="0.25">
      <c r="A6" s="3"/>
      <c r="B6" s="34"/>
      <c r="C6" s="22"/>
      <c r="D6" s="79" t="s">
        <v>622</v>
      </c>
      <c r="E6" s="22"/>
      <c r="F6" s="22"/>
      <c r="G6" s="22"/>
      <c r="H6" s="24" t="s">
        <v>34</v>
      </c>
      <c r="I6" s="79" t="s">
        <v>623</v>
      </c>
      <c r="J6" s="9"/>
    </row>
    <row r="7" spans="1:15" ht="15.75" customHeight="1" x14ac:dyDescent="0.25">
      <c r="A7" s="3"/>
      <c r="B7" s="35"/>
      <c r="C7" s="80"/>
      <c r="D7" s="69"/>
      <c r="E7" s="29"/>
      <c r="F7" s="29"/>
      <c r="G7" s="29"/>
      <c r="H7" s="30"/>
      <c r="I7" s="29"/>
      <c r="J7" s="42"/>
    </row>
    <row r="8" spans="1:15" ht="24" hidden="1" customHeight="1" x14ac:dyDescent="0.25">
      <c r="A8" s="3"/>
      <c r="B8" s="39" t="s">
        <v>19</v>
      </c>
      <c r="D8" s="28"/>
      <c r="H8" s="24" t="s">
        <v>33</v>
      </c>
      <c r="I8" s="28"/>
      <c r="J8" s="9"/>
    </row>
    <row r="9" spans="1:15" ht="15.75" hidden="1" customHeight="1" x14ac:dyDescent="0.25">
      <c r="A9" s="3"/>
      <c r="B9" s="3"/>
      <c r="D9" s="28"/>
      <c r="H9" s="24" t="s">
        <v>34</v>
      </c>
      <c r="I9" s="28"/>
      <c r="J9" s="9"/>
    </row>
    <row r="10" spans="1:15" ht="15.75" hidden="1" customHeight="1" x14ac:dyDescent="0.25">
      <c r="A10" s="3"/>
      <c r="B10" s="43"/>
      <c r="C10" s="23"/>
      <c r="D10" s="38"/>
      <c r="E10" s="30"/>
      <c r="F10" s="30"/>
      <c r="G10" s="15"/>
      <c r="H10" s="15"/>
      <c r="I10" s="44"/>
      <c r="J10" s="42"/>
    </row>
    <row r="11" spans="1:15" ht="24" hidden="1" customHeight="1" x14ac:dyDescent="0.25">
      <c r="A11" s="3"/>
      <c r="B11" s="55" t="s">
        <v>20</v>
      </c>
      <c r="C11" s="56"/>
      <c r="D11" s="57"/>
      <c r="E11" s="58"/>
      <c r="F11" s="58"/>
      <c r="G11" s="58"/>
      <c r="H11" s="59"/>
      <c r="I11" s="58"/>
      <c r="J11" s="60"/>
    </row>
    <row r="12" spans="1:15" ht="32.25" customHeight="1" x14ac:dyDescent="0.25">
      <c r="A12" s="3"/>
      <c r="B12" s="43" t="s">
        <v>31</v>
      </c>
      <c r="C12" s="61"/>
      <c r="D12" s="15"/>
      <c r="E12" s="360"/>
      <c r="F12" s="360"/>
      <c r="G12" s="361"/>
      <c r="H12" s="361"/>
      <c r="I12" s="361" t="s">
        <v>28</v>
      </c>
      <c r="J12" s="362"/>
    </row>
    <row r="13" spans="1:15" ht="23.25" customHeight="1" x14ac:dyDescent="0.25">
      <c r="A13" s="129" t="s">
        <v>23</v>
      </c>
      <c r="B13" s="130" t="s">
        <v>23</v>
      </c>
      <c r="C13" s="47"/>
      <c r="D13" s="48"/>
      <c r="E13" s="432"/>
      <c r="F13" s="433"/>
      <c r="G13" s="432"/>
      <c r="H13" s="433"/>
      <c r="I13" s="437">
        <f>SUMIF(F41:F63,A13,I41:I63)+SUMIF(F41:F63,"PSU",I41:I63)</f>
        <v>0</v>
      </c>
      <c r="J13" s="350"/>
    </row>
    <row r="14" spans="1:15" ht="23.25" customHeight="1" x14ac:dyDescent="0.25">
      <c r="A14" s="129" t="s">
        <v>24</v>
      </c>
      <c r="B14" s="130" t="s">
        <v>24</v>
      </c>
      <c r="C14" s="47"/>
      <c r="D14" s="48"/>
      <c r="E14" s="432"/>
      <c r="F14" s="433"/>
      <c r="G14" s="432"/>
      <c r="H14" s="433"/>
      <c r="I14" s="437">
        <f>SUMIF(F41:F63,A14,I41:I63)</f>
        <v>0</v>
      </c>
      <c r="J14" s="350"/>
    </row>
    <row r="15" spans="1:15" ht="23.25" customHeight="1" x14ac:dyDescent="0.25">
      <c r="A15" s="129" t="s">
        <v>25</v>
      </c>
      <c r="B15" s="130" t="s">
        <v>25</v>
      </c>
      <c r="C15" s="47"/>
      <c r="D15" s="48"/>
      <c r="E15" s="432"/>
      <c r="F15" s="433"/>
      <c r="G15" s="432"/>
      <c r="H15" s="433"/>
      <c r="I15" s="432">
        <f>SUMIF(F41:F63,A15,I41:I63)</f>
        <v>0</v>
      </c>
      <c r="J15" s="438"/>
    </row>
    <row r="16" spans="1:15" ht="23.25" customHeight="1" x14ac:dyDescent="0.25">
      <c r="A16" s="129" t="s">
        <v>96</v>
      </c>
      <c r="B16" s="130" t="s">
        <v>26</v>
      </c>
      <c r="C16" s="47"/>
      <c r="D16" s="48"/>
      <c r="E16" s="432"/>
      <c r="F16" s="433"/>
      <c r="G16" s="432"/>
      <c r="H16" s="433"/>
      <c r="I16" s="432">
        <v>0</v>
      </c>
      <c r="J16" s="438"/>
    </row>
    <row r="17" spans="1:10" ht="23.25" customHeight="1" x14ac:dyDescent="0.25">
      <c r="A17" s="129" t="s">
        <v>97</v>
      </c>
      <c r="B17" s="130" t="s">
        <v>27</v>
      </c>
      <c r="C17" s="47"/>
      <c r="D17" s="48"/>
      <c r="E17" s="432"/>
      <c r="F17" s="433"/>
      <c r="G17" s="432"/>
      <c r="H17" s="433"/>
      <c r="I17" s="432">
        <f>SUMIF(F41:F63,A17,I41:I63)</f>
        <v>0</v>
      </c>
      <c r="J17" s="438"/>
    </row>
    <row r="18" spans="1:10" ht="23.25" customHeight="1" x14ac:dyDescent="0.3">
      <c r="A18" s="3"/>
      <c r="B18" s="63" t="s">
        <v>28</v>
      </c>
      <c r="C18" s="64"/>
      <c r="D18" s="65"/>
      <c r="E18" s="439"/>
      <c r="F18" s="440"/>
      <c r="G18" s="439"/>
      <c r="H18" s="440"/>
      <c r="I18" s="445">
        <f>SUM(I13:J17)</f>
        <v>0</v>
      </c>
      <c r="J18" s="366"/>
    </row>
    <row r="19" spans="1:10" ht="33" customHeight="1" x14ac:dyDescent="0.25">
      <c r="A19" s="3"/>
      <c r="B19" s="54" t="s">
        <v>32</v>
      </c>
      <c r="C19" s="47"/>
      <c r="D19" s="48"/>
      <c r="E19" s="53"/>
      <c r="F19" s="50"/>
      <c r="G19" s="41"/>
      <c r="H19" s="41"/>
      <c r="I19" s="41"/>
      <c r="J19" s="51"/>
    </row>
    <row r="20" spans="1:10" ht="23.25" customHeight="1" x14ac:dyDescent="0.25">
      <c r="A20" s="3"/>
      <c r="B20" s="46" t="s">
        <v>11</v>
      </c>
      <c r="C20" s="47"/>
      <c r="D20" s="48"/>
      <c r="E20" s="49">
        <v>12</v>
      </c>
      <c r="F20" s="50" t="s">
        <v>0</v>
      </c>
      <c r="G20" s="443">
        <f>ZakladDPHSniVypocet</f>
        <v>0</v>
      </c>
      <c r="H20" s="444"/>
      <c r="I20" s="444"/>
      <c r="J20" s="51" t="str">
        <f t="shared" ref="J20:J25" si="0">Mena</f>
        <v>CZK</v>
      </c>
    </row>
    <row r="21" spans="1:10" ht="23.25" customHeight="1" x14ac:dyDescent="0.25">
      <c r="A21" s="3"/>
      <c r="B21" s="46" t="s">
        <v>12</v>
      </c>
      <c r="C21" s="47"/>
      <c r="D21" s="48"/>
      <c r="E21" s="49">
        <f>SazbaDPH1</f>
        <v>12</v>
      </c>
      <c r="F21" s="50" t="s">
        <v>0</v>
      </c>
      <c r="G21" s="441">
        <f>ZakladDPHSni*SazbaDPH1/100</f>
        <v>0</v>
      </c>
      <c r="H21" s="442"/>
      <c r="I21" s="442"/>
      <c r="J21" s="51" t="str">
        <f t="shared" si="0"/>
        <v>CZK</v>
      </c>
    </row>
    <row r="22" spans="1:10" ht="23.25" customHeight="1" x14ac:dyDescent="0.25">
      <c r="A22" s="3"/>
      <c r="B22" s="46" t="s">
        <v>13</v>
      </c>
      <c r="C22" s="47"/>
      <c r="D22" s="48"/>
      <c r="E22" s="49">
        <v>21</v>
      </c>
      <c r="F22" s="50" t="s">
        <v>0</v>
      </c>
      <c r="G22" s="435">
        <f>I18</f>
        <v>0</v>
      </c>
      <c r="H22" s="436"/>
      <c r="I22" s="436"/>
      <c r="J22" s="51" t="str">
        <f t="shared" si="0"/>
        <v>CZK</v>
      </c>
    </row>
    <row r="23" spans="1:10" ht="23.25" customHeight="1" x14ac:dyDescent="0.25">
      <c r="A23" s="3"/>
      <c r="B23" s="40" t="s">
        <v>14</v>
      </c>
      <c r="C23" s="19"/>
      <c r="D23" s="15"/>
      <c r="E23" s="36">
        <f>SazbaDPH2</f>
        <v>21</v>
      </c>
      <c r="F23" s="37" t="s">
        <v>0</v>
      </c>
      <c r="G23" s="380">
        <f>ZakladDPHZakl*SazbaDPH2/100</f>
        <v>0</v>
      </c>
      <c r="H23" s="381"/>
      <c r="I23" s="381"/>
      <c r="J23" s="45" t="str">
        <f t="shared" si="0"/>
        <v>CZK</v>
      </c>
    </row>
    <row r="24" spans="1:10" ht="23.25" customHeight="1" thickBot="1" x14ac:dyDescent="0.3">
      <c r="A24" s="3"/>
      <c r="B24" s="39" t="s">
        <v>4</v>
      </c>
      <c r="C24" s="17"/>
      <c r="D24" s="20"/>
      <c r="E24" s="17"/>
      <c r="F24" s="18"/>
      <c r="G24" s="382">
        <f>0</f>
        <v>0</v>
      </c>
      <c r="H24" s="382"/>
      <c r="I24" s="382"/>
      <c r="J24" s="52" t="str">
        <f t="shared" si="0"/>
        <v>CZK</v>
      </c>
    </row>
    <row r="25" spans="1:10" ht="27.75" hidden="1" customHeight="1" thickBot="1" x14ac:dyDescent="0.3">
      <c r="A25" s="3"/>
      <c r="B25" s="101" t="s">
        <v>22</v>
      </c>
      <c r="C25" s="102"/>
      <c r="D25" s="102"/>
      <c r="E25" s="103"/>
      <c r="F25" s="104"/>
      <c r="G25" s="383">
        <f>ZakladDPHSniVypocet+ZakladDPHZaklVypocet</f>
        <v>0</v>
      </c>
      <c r="H25" s="383"/>
      <c r="I25" s="383"/>
      <c r="J25" s="105" t="str">
        <f t="shared" si="0"/>
        <v>CZK</v>
      </c>
    </row>
    <row r="26" spans="1:10" ht="27.75" customHeight="1" thickBot="1" x14ac:dyDescent="0.3">
      <c r="A26" s="3"/>
      <c r="B26" s="101" t="s">
        <v>35</v>
      </c>
      <c r="C26" s="106"/>
      <c r="D26" s="106"/>
      <c r="E26" s="106"/>
      <c r="F26" s="106"/>
      <c r="G26" s="367">
        <f>ZakladDPHSni+DPHSni+ZakladDPHZakl+DPHZakl+Zaokrouhleni</f>
        <v>0</v>
      </c>
      <c r="H26" s="367"/>
      <c r="I26" s="367"/>
      <c r="J26" s="107" t="s">
        <v>45</v>
      </c>
    </row>
    <row r="27" spans="1:10" ht="27" hidden="1" customHeight="1" x14ac:dyDescent="0.4">
      <c r="B27" s="66" t="s">
        <v>15</v>
      </c>
      <c r="C27" s="2"/>
      <c r="D27" s="2"/>
      <c r="E27" s="2"/>
      <c r="F27" s="93"/>
      <c r="G27" s="93"/>
      <c r="H27" s="93"/>
      <c r="I27" s="93"/>
      <c r="J27" s="2"/>
    </row>
    <row r="28" spans="1:10" ht="25.5" hidden="1" customHeight="1" x14ac:dyDescent="0.25">
      <c r="A28" s="85" t="s">
        <v>37</v>
      </c>
      <c r="B28" s="87" t="s">
        <v>16</v>
      </c>
      <c r="C28" s="88" t="s">
        <v>5</v>
      </c>
      <c r="D28" s="89"/>
      <c r="E28" s="89"/>
      <c r="F28" s="94" t="str">
        <f>B20</f>
        <v>Základ pro sníženou DPH</v>
      </c>
      <c r="G28" s="94" t="str">
        <f>B22</f>
        <v>Základ pro základní DPH</v>
      </c>
      <c r="H28" s="95" t="s">
        <v>17</v>
      </c>
      <c r="I28" s="95" t="s">
        <v>1</v>
      </c>
      <c r="J28" s="90" t="s">
        <v>0</v>
      </c>
    </row>
    <row r="29" spans="1:10" ht="25.5" hidden="1" customHeight="1" x14ac:dyDescent="0.25">
      <c r="A29" s="85">
        <v>1</v>
      </c>
      <c r="B29" s="91" t="s">
        <v>43</v>
      </c>
      <c r="C29" s="426" t="s">
        <v>42</v>
      </c>
      <c r="D29" s="427"/>
      <c r="E29" s="427"/>
      <c r="F29" s="96">
        <f>'D.1.1. ASŘ'!AC428</f>
        <v>0</v>
      </c>
      <c r="G29" s="97">
        <f>'D.1.1. ASŘ'!AD428</f>
        <v>0</v>
      </c>
      <c r="H29" s="98">
        <f>(F29*SazbaDPH1/100)+(G29*SazbaDPH2/100)</f>
        <v>0</v>
      </c>
      <c r="I29" s="98">
        <f>F29+G29+H29</f>
        <v>0</v>
      </c>
      <c r="J29" s="92" t="str">
        <f>IF(CenaCelkemVypocet=0,"",I29/CenaCelkemVypocet*100)</f>
        <v/>
      </c>
    </row>
    <row r="30" spans="1:10" ht="25.5" hidden="1" customHeight="1" x14ac:dyDescent="0.25">
      <c r="A30" s="85"/>
      <c r="B30" s="428" t="s">
        <v>44</v>
      </c>
      <c r="C30" s="429"/>
      <c r="D30" s="429"/>
      <c r="E30" s="430"/>
      <c r="F30" s="99">
        <f>SUMIF(A29:A29,"=1",F29:F29)</f>
        <v>0</v>
      </c>
      <c r="G30" s="100">
        <f>SUMIF(A29:A29,"=1",G29:G29)</f>
        <v>0</v>
      </c>
      <c r="H30" s="100">
        <f>SUMIF(A29:A29,"=1",H29:H29)</f>
        <v>0</v>
      </c>
      <c r="I30" s="100">
        <f>SUMIF(A29:A29,"=1",I29:I29)</f>
        <v>0</v>
      </c>
      <c r="J30" s="86">
        <f>SUMIF(A29:A29,"=1",J29:J29)</f>
        <v>0</v>
      </c>
    </row>
    <row r="32" spans="1:10" x14ac:dyDescent="0.25">
      <c r="B32" t="s">
        <v>46</v>
      </c>
    </row>
    <row r="33" spans="1:52" x14ac:dyDescent="0.25">
      <c r="B33" s="431" t="s">
        <v>47</v>
      </c>
      <c r="C33" s="431"/>
      <c r="D33" s="431"/>
      <c r="E33" s="431"/>
      <c r="F33" s="431"/>
      <c r="G33" s="431"/>
      <c r="H33" s="431"/>
      <c r="I33" s="431"/>
      <c r="J33" s="431"/>
      <c r="AZ33" s="108" t="str">
        <f>B33</f>
        <v>Otvory do 3,5 m2 se neodečítají (omítky, malby, SDK).</v>
      </c>
    </row>
    <row r="35" spans="1:52" x14ac:dyDescent="0.25">
      <c r="B35" s="431" t="s">
        <v>48</v>
      </c>
      <c r="C35" s="431"/>
      <c r="D35" s="431"/>
      <c r="E35" s="431"/>
      <c r="F35" s="431"/>
      <c r="G35" s="431"/>
      <c r="H35" s="431"/>
      <c r="I35" s="431"/>
      <c r="J35" s="431"/>
      <c r="AZ35" s="108" t="str">
        <f t="shared" ref="AZ35:AZ37" si="1">B35</f>
        <v>Součásti rozpočtu není:</v>
      </c>
    </row>
    <row r="36" spans="1:52" x14ac:dyDescent="0.25">
      <c r="B36" s="431" t="s">
        <v>49</v>
      </c>
      <c r="C36" s="431"/>
      <c r="D36" s="431"/>
      <c r="E36" s="431"/>
      <c r="F36" s="431"/>
      <c r="G36" s="431"/>
      <c r="H36" s="431"/>
      <c r="I36" s="431"/>
      <c r="J36" s="431"/>
      <c r="AZ36" s="108" t="str">
        <f t="shared" si="1"/>
        <v>- chemické WC (bude využito stávající v objektu)</v>
      </c>
    </row>
    <row r="37" spans="1:52" x14ac:dyDescent="0.25">
      <c r="B37" s="431"/>
      <c r="C37" s="431"/>
      <c r="D37" s="431"/>
      <c r="E37" s="431"/>
      <c r="F37" s="431"/>
      <c r="G37" s="431"/>
      <c r="H37" s="431"/>
      <c r="I37" s="431"/>
      <c r="J37" s="431"/>
      <c r="AZ37" s="108">
        <f t="shared" si="1"/>
        <v>0</v>
      </c>
    </row>
    <row r="38" spans="1:52" ht="15.5" x14ac:dyDescent="0.35">
      <c r="B38" s="109" t="s">
        <v>50</v>
      </c>
    </row>
    <row r="40" spans="1:52" ht="25.5" customHeight="1" x14ac:dyDescent="0.25">
      <c r="A40" s="110"/>
      <c r="B40" s="114" t="s">
        <v>16</v>
      </c>
      <c r="C40" s="114" t="s">
        <v>5</v>
      </c>
      <c r="D40" s="115"/>
      <c r="E40" s="115"/>
      <c r="F40" s="118" t="s">
        <v>51</v>
      </c>
      <c r="G40" s="118"/>
      <c r="H40" s="118"/>
      <c r="I40" s="434" t="s">
        <v>28</v>
      </c>
      <c r="J40" s="434"/>
    </row>
    <row r="41" spans="1:52" ht="25.5" customHeight="1" x14ac:dyDescent="0.25">
      <c r="A41" s="111"/>
      <c r="B41" s="119" t="s">
        <v>52</v>
      </c>
      <c r="C41" s="421" t="s">
        <v>53</v>
      </c>
      <c r="D41" s="422"/>
      <c r="E41" s="422"/>
      <c r="F41" s="121" t="s">
        <v>23</v>
      </c>
      <c r="G41" s="122"/>
      <c r="H41" s="122"/>
      <c r="I41" s="420">
        <f>'D.1.1. ASŘ'!G8</f>
        <v>0</v>
      </c>
      <c r="J41" s="420"/>
    </row>
    <row r="42" spans="1:52" ht="25.5" customHeight="1" x14ac:dyDescent="0.25">
      <c r="A42" s="111"/>
      <c r="B42" s="113" t="s">
        <v>54</v>
      </c>
      <c r="C42" s="415" t="s">
        <v>55</v>
      </c>
      <c r="D42" s="416"/>
      <c r="E42" s="416"/>
      <c r="F42" s="123" t="s">
        <v>23</v>
      </c>
      <c r="G42" s="124"/>
      <c r="H42" s="124"/>
      <c r="I42" s="414">
        <f>'D.1.1. ASŘ'!G13</f>
        <v>0</v>
      </c>
      <c r="J42" s="414"/>
    </row>
    <row r="43" spans="1:52" ht="25.5" customHeight="1" x14ac:dyDescent="0.25">
      <c r="A43" s="111"/>
      <c r="B43" s="113" t="s">
        <v>56</v>
      </c>
      <c r="C43" s="415" t="s">
        <v>57</v>
      </c>
      <c r="D43" s="416"/>
      <c r="E43" s="416"/>
      <c r="F43" s="123" t="s">
        <v>23</v>
      </c>
      <c r="G43" s="124"/>
      <c r="H43" s="124"/>
      <c r="I43" s="414">
        <f>'D.1.1. ASŘ'!G20</f>
        <v>0</v>
      </c>
      <c r="J43" s="414"/>
    </row>
    <row r="44" spans="1:52" ht="25.5" customHeight="1" x14ac:dyDescent="0.25">
      <c r="A44" s="111"/>
      <c r="B44" s="113" t="s">
        <v>58</v>
      </c>
      <c r="C44" s="415" t="s">
        <v>59</v>
      </c>
      <c r="D44" s="416"/>
      <c r="E44" s="416"/>
      <c r="F44" s="123" t="s">
        <v>23</v>
      </c>
      <c r="G44" s="124"/>
      <c r="H44" s="124"/>
      <c r="I44" s="414">
        <f>'D.1.1. ASŘ'!G39</f>
        <v>0</v>
      </c>
      <c r="J44" s="414"/>
    </row>
    <row r="45" spans="1:52" ht="25.5" customHeight="1" x14ac:dyDescent="0.25">
      <c r="A45" s="111"/>
      <c r="B45" s="113" t="s">
        <v>60</v>
      </c>
      <c r="C45" s="415" t="s">
        <v>61</v>
      </c>
      <c r="D45" s="416"/>
      <c r="E45" s="416"/>
      <c r="F45" s="123" t="s">
        <v>23</v>
      </c>
      <c r="G45" s="124"/>
      <c r="H45" s="124"/>
      <c r="I45" s="414">
        <f>'D.1.1. ASŘ'!G75</f>
        <v>0</v>
      </c>
      <c r="J45" s="414"/>
    </row>
    <row r="46" spans="1:52" ht="25.5" customHeight="1" x14ac:dyDescent="0.25">
      <c r="A46" s="111"/>
      <c r="B46" s="113" t="s">
        <v>62</v>
      </c>
      <c r="C46" s="415" t="s">
        <v>63</v>
      </c>
      <c r="D46" s="416"/>
      <c r="E46" s="416"/>
      <c r="F46" s="123" t="s">
        <v>23</v>
      </c>
      <c r="G46" s="124"/>
      <c r="H46" s="124"/>
      <c r="I46" s="414">
        <f>'D.1.1. ASŘ'!G82</f>
        <v>0</v>
      </c>
      <c r="J46" s="414"/>
    </row>
    <row r="47" spans="1:52" ht="25.5" customHeight="1" x14ac:dyDescent="0.25">
      <c r="A47" s="111"/>
      <c r="B47" s="113" t="s">
        <v>64</v>
      </c>
      <c r="C47" s="415" t="s">
        <v>65</v>
      </c>
      <c r="D47" s="416"/>
      <c r="E47" s="416"/>
      <c r="F47" s="123" t="s">
        <v>23</v>
      </c>
      <c r="G47" s="124"/>
      <c r="H47" s="124"/>
      <c r="I47" s="414">
        <f>'D.1.1. ASŘ'!G86</f>
        <v>0</v>
      </c>
      <c r="J47" s="414"/>
    </row>
    <row r="48" spans="1:52" ht="25.5" customHeight="1" x14ac:dyDescent="0.25">
      <c r="A48" s="111"/>
      <c r="B48" s="113" t="s">
        <v>66</v>
      </c>
      <c r="C48" s="415" t="s">
        <v>67</v>
      </c>
      <c r="D48" s="416"/>
      <c r="E48" s="416"/>
      <c r="F48" s="123" t="s">
        <v>23</v>
      </c>
      <c r="G48" s="124"/>
      <c r="H48" s="124"/>
      <c r="I48" s="414">
        <f>'D.1.1. ASŘ'!G94</f>
        <v>0</v>
      </c>
      <c r="J48" s="414"/>
    </row>
    <row r="49" spans="1:10" ht="25.5" customHeight="1" x14ac:dyDescent="0.25">
      <c r="A49" s="111"/>
      <c r="B49" s="113" t="s">
        <v>68</v>
      </c>
      <c r="C49" s="415" t="s">
        <v>69</v>
      </c>
      <c r="D49" s="416"/>
      <c r="E49" s="416"/>
      <c r="F49" s="123" t="s">
        <v>23</v>
      </c>
      <c r="G49" s="124"/>
      <c r="H49" s="124"/>
      <c r="I49" s="414">
        <f>'D.1.1. ASŘ'!G138</f>
        <v>0</v>
      </c>
      <c r="J49" s="414"/>
    </row>
    <row r="50" spans="1:10" ht="25.5" customHeight="1" x14ac:dyDescent="0.25">
      <c r="A50" s="111"/>
      <c r="B50" s="113" t="s">
        <v>70</v>
      </c>
      <c r="C50" s="415" t="s">
        <v>71</v>
      </c>
      <c r="D50" s="416"/>
      <c r="E50" s="416"/>
      <c r="F50" s="123" t="s">
        <v>23</v>
      </c>
      <c r="G50" s="124"/>
      <c r="H50" s="124"/>
      <c r="I50" s="414">
        <f>'D.1.1. ASŘ'!G166</f>
        <v>0</v>
      </c>
      <c r="J50" s="414"/>
    </row>
    <row r="51" spans="1:10" ht="25.5" customHeight="1" x14ac:dyDescent="0.25">
      <c r="A51" s="111"/>
      <c r="B51" s="113" t="s">
        <v>72</v>
      </c>
      <c r="C51" s="415" t="s">
        <v>73</v>
      </c>
      <c r="D51" s="416"/>
      <c r="E51" s="416"/>
      <c r="F51" s="123" t="s">
        <v>24</v>
      </c>
      <c r="G51" s="124"/>
      <c r="H51" s="124"/>
      <c r="I51" s="414">
        <f>'D.1.1. ASŘ'!G169</f>
        <v>0</v>
      </c>
      <c r="J51" s="414"/>
    </row>
    <row r="52" spans="1:10" ht="25.5" customHeight="1" x14ac:dyDescent="0.25">
      <c r="A52" s="111"/>
      <c r="B52" s="113" t="s">
        <v>74</v>
      </c>
      <c r="C52" s="415" t="s">
        <v>75</v>
      </c>
      <c r="D52" s="416"/>
      <c r="E52" s="416"/>
      <c r="F52" s="123" t="s">
        <v>24</v>
      </c>
      <c r="G52" s="124"/>
      <c r="H52" s="124"/>
      <c r="I52" s="414">
        <f>'D.1.1. ASŘ'!G185</f>
        <v>0</v>
      </c>
      <c r="J52" s="414"/>
    </row>
    <row r="53" spans="1:10" ht="25.5" customHeight="1" x14ac:dyDescent="0.25">
      <c r="A53" s="111"/>
      <c r="B53" s="113" t="s">
        <v>76</v>
      </c>
      <c r="C53" s="415" t="s">
        <v>77</v>
      </c>
      <c r="D53" s="416"/>
      <c r="E53" s="416"/>
      <c r="F53" s="123" t="s">
        <v>24</v>
      </c>
      <c r="G53" s="124"/>
      <c r="H53" s="124"/>
      <c r="I53" s="414">
        <f>'D.1.1. ASŘ'!G191</f>
        <v>0</v>
      </c>
      <c r="J53" s="414"/>
    </row>
    <row r="54" spans="1:10" ht="25.5" customHeight="1" x14ac:dyDescent="0.25">
      <c r="A54" s="111"/>
      <c r="B54" s="113" t="s">
        <v>78</v>
      </c>
      <c r="C54" s="415" t="s">
        <v>79</v>
      </c>
      <c r="D54" s="416"/>
      <c r="E54" s="416"/>
      <c r="F54" s="123" t="s">
        <v>24</v>
      </c>
      <c r="G54" s="124"/>
      <c r="H54" s="124"/>
      <c r="I54" s="414">
        <f>'D.1.1. ASŘ'!G196</f>
        <v>0</v>
      </c>
      <c r="J54" s="414"/>
    </row>
    <row r="55" spans="1:10" ht="25.5" customHeight="1" x14ac:dyDescent="0.25">
      <c r="A55" s="111"/>
      <c r="B55" s="113" t="s">
        <v>80</v>
      </c>
      <c r="C55" s="415" t="s">
        <v>81</v>
      </c>
      <c r="D55" s="416"/>
      <c r="E55" s="416"/>
      <c r="F55" s="123" t="s">
        <v>24</v>
      </c>
      <c r="G55" s="124"/>
      <c r="H55" s="124"/>
      <c r="I55" s="414">
        <f>'D.1.1. ASŘ'!G237</f>
        <v>0</v>
      </c>
      <c r="J55" s="414"/>
    </row>
    <row r="56" spans="1:10" ht="25.5" customHeight="1" x14ac:dyDescent="0.25">
      <c r="A56" s="111"/>
      <c r="B56" s="113" t="s">
        <v>82</v>
      </c>
      <c r="C56" s="415" t="s">
        <v>83</v>
      </c>
      <c r="D56" s="416"/>
      <c r="E56" s="416"/>
      <c r="F56" s="123" t="s">
        <v>24</v>
      </c>
      <c r="G56" s="124"/>
      <c r="H56" s="124"/>
      <c r="I56" s="414">
        <f>'D.1.1. ASŘ'!G279</f>
        <v>0</v>
      </c>
      <c r="J56" s="414"/>
    </row>
    <row r="57" spans="1:10" ht="25.5" customHeight="1" x14ac:dyDescent="0.25">
      <c r="A57" s="111"/>
      <c r="B57" s="113" t="s">
        <v>84</v>
      </c>
      <c r="C57" s="415" t="s">
        <v>85</v>
      </c>
      <c r="D57" s="416"/>
      <c r="E57" s="416"/>
      <c r="F57" s="123" t="s">
        <v>24</v>
      </c>
      <c r="G57" s="124"/>
      <c r="H57" s="124"/>
      <c r="I57" s="414">
        <f>'D.1.1. ASŘ'!G308</f>
        <v>0</v>
      </c>
      <c r="J57" s="414"/>
    </row>
    <row r="58" spans="1:10" ht="25.5" customHeight="1" x14ac:dyDescent="0.25">
      <c r="A58" s="111"/>
      <c r="B58" s="113" t="s">
        <v>86</v>
      </c>
      <c r="C58" s="415" t="s">
        <v>87</v>
      </c>
      <c r="D58" s="416"/>
      <c r="E58" s="416"/>
      <c r="F58" s="123" t="s">
        <v>24</v>
      </c>
      <c r="G58" s="124"/>
      <c r="H58" s="124"/>
      <c r="I58" s="414">
        <f>'D.1.1. ASŘ'!G328</f>
        <v>0</v>
      </c>
      <c r="J58" s="414"/>
    </row>
    <row r="59" spans="1:10" ht="25.5" customHeight="1" x14ac:dyDescent="0.25">
      <c r="A59" s="111"/>
      <c r="B59" s="113" t="s">
        <v>88</v>
      </c>
      <c r="C59" s="415" t="s">
        <v>89</v>
      </c>
      <c r="D59" s="416"/>
      <c r="E59" s="416"/>
      <c r="F59" s="123" t="s">
        <v>24</v>
      </c>
      <c r="G59" s="124"/>
      <c r="H59" s="124"/>
      <c r="I59" s="414">
        <f>'D.1.1. ASŘ'!G346</f>
        <v>0</v>
      </c>
      <c r="J59" s="414"/>
    </row>
    <row r="60" spans="1:10" ht="25.5" customHeight="1" x14ac:dyDescent="0.25">
      <c r="A60" s="111"/>
      <c r="B60" s="113" t="s">
        <v>90</v>
      </c>
      <c r="C60" s="415" t="s">
        <v>91</v>
      </c>
      <c r="D60" s="416"/>
      <c r="E60" s="416"/>
      <c r="F60" s="123" t="s">
        <v>24</v>
      </c>
      <c r="G60" s="124"/>
      <c r="H60" s="124"/>
      <c r="I60" s="414">
        <f>'D.1.1. ASŘ'!G362</f>
        <v>0</v>
      </c>
      <c r="J60" s="414"/>
    </row>
    <row r="61" spans="1:10" ht="25.5" customHeight="1" x14ac:dyDescent="0.25">
      <c r="A61" s="111"/>
      <c r="B61" s="113" t="s">
        <v>92</v>
      </c>
      <c r="C61" s="415" t="s">
        <v>93</v>
      </c>
      <c r="D61" s="416"/>
      <c r="E61" s="416"/>
      <c r="F61" s="123" t="s">
        <v>24</v>
      </c>
      <c r="G61" s="124"/>
      <c r="H61" s="124"/>
      <c r="I61" s="414">
        <f>'D.1.1. ASŘ'!G372</f>
        <v>0</v>
      </c>
      <c r="J61" s="414"/>
    </row>
    <row r="62" spans="1:10" ht="25.5" customHeight="1" x14ac:dyDescent="0.25">
      <c r="A62" s="111"/>
      <c r="B62" s="120" t="s">
        <v>94</v>
      </c>
      <c r="C62" s="418" t="s">
        <v>95</v>
      </c>
      <c r="D62" s="419"/>
      <c r="E62" s="419"/>
      <c r="F62" s="125" t="s">
        <v>24</v>
      </c>
      <c r="G62" s="126"/>
      <c r="H62" s="126"/>
      <c r="I62" s="417">
        <f>'D.1.1. ASŘ'!G409</f>
        <v>0</v>
      </c>
      <c r="J62" s="417"/>
    </row>
    <row r="63" spans="1:10" ht="25.5" customHeight="1" x14ac:dyDescent="0.25">
      <c r="A63" s="111"/>
      <c r="B63" s="120" t="s">
        <v>94</v>
      </c>
      <c r="C63" s="418" t="s">
        <v>537</v>
      </c>
      <c r="D63" s="419"/>
      <c r="E63" s="419"/>
      <c r="F63" s="125" t="s">
        <v>24</v>
      </c>
      <c r="G63" s="126"/>
      <c r="H63" s="126"/>
      <c r="I63" s="417">
        <f>'D.1.1. ASŘ'!G412</f>
        <v>0</v>
      </c>
      <c r="J63" s="417"/>
    </row>
    <row r="64" spans="1:10" ht="25.5" customHeight="1" x14ac:dyDescent="0.25">
      <c r="A64" s="112"/>
      <c r="B64" s="116" t="s">
        <v>1</v>
      </c>
      <c r="C64" s="116"/>
      <c r="D64" s="117"/>
      <c r="E64" s="117"/>
      <c r="F64" s="127"/>
      <c r="G64" s="128"/>
      <c r="H64" s="128"/>
      <c r="I64" s="413">
        <f>SUM(I41:I63)</f>
        <v>0</v>
      </c>
      <c r="J64" s="413"/>
    </row>
    <row r="65" spans="6:10" x14ac:dyDescent="0.25">
      <c r="F65" s="84"/>
      <c r="G65" s="84"/>
      <c r="H65" s="84"/>
      <c r="I65" s="84"/>
      <c r="J65" s="84"/>
    </row>
    <row r="66" spans="6:10" x14ac:dyDescent="0.25">
      <c r="F66" s="84"/>
      <c r="G66" s="84"/>
      <c r="H66" s="84"/>
      <c r="I66" s="84"/>
      <c r="J66" s="84"/>
    </row>
    <row r="67" spans="6:10" x14ac:dyDescent="0.25">
      <c r="F67" s="84"/>
      <c r="G67" s="84"/>
      <c r="H67" s="84"/>
      <c r="I67" s="84"/>
      <c r="J67" s="84"/>
    </row>
  </sheetData>
  <sheetProtection algorithmName="SHA-512" hashValue="4OzqwwDi3dqF3NtsqfFb3maoX/LRhRVhQTQ7+veVr5J+0xOtBxV9rysivBCxIvdd2I3NDXvSCxRGgUK2LL0pFA==" saltValue="VHdc5pDxG9hEI/EPers7+g=="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5">
    <mergeCell ref="D2:J2"/>
    <mergeCell ref="E14:F14"/>
    <mergeCell ref="G13:H13"/>
    <mergeCell ref="G14:H14"/>
    <mergeCell ref="G15:H15"/>
    <mergeCell ref="I14:J14"/>
    <mergeCell ref="I15:J15"/>
    <mergeCell ref="E15:F15"/>
    <mergeCell ref="E12:F12"/>
    <mergeCell ref="B1:J1"/>
    <mergeCell ref="G23:I23"/>
    <mergeCell ref="G24:I24"/>
    <mergeCell ref="G26:I26"/>
    <mergeCell ref="G22:I22"/>
    <mergeCell ref="I13:J13"/>
    <mergeCell ref="I16:J16"/>
    <mergeCell ref="E18:F18"/>
    <mergeCell ref="G18:H18"/>
    <mergeCell ref="G21:I21"/>
    <mergeCell ref="G20:I20"/>
    <mergeCell ref="E16:F16"/>
    <mergeCell ref="E17:F17"/>
    <mergeCell ref="I17:J17"/>
    <mergeCell ref="I18:J18"/>
    <mergeCell ref="G16:H16"/>
    <mergeCell ref="I41:J41"/>
    <mergeCell ref="C41:E41"/>
    <mergeCell ref="D3:J3"/>
    <mergeCell ref="C29:E29"/>
    <mergeCell ref="B30:E30"/>
    <mergeCell ref="B33:J33"/>
    <mergeCell ref="B35:J35"/>
    <mergeCell ref="B36:J36"/>
    <mergeCell ref="G25:I25"/>
    <mergeCell ref="G12:H12"/>
    <mergeCell ref="I12:J12"/>
    <mergeCell ref="E13:F13"/>
    <mergeCell ref="B37:J37"/>
    <mergeCell ref="I40:J40"/>
    <mergeCell ref="G17:H17"/>
    <mergeCell ref="I42:J42"/>
    <mergeCell ref="C42:E42"/>
    <mergeCell ref="I43:J43"/>
    <mergeCell ref="C43:E43"/>
    <mergeCell ref="I44:J44"/>
    <mergeCell ref="C44:E44"/>
    <mergeCell ref="I45:J45"/>
    <mergeCell ref="C45:E45"/>
    <mergeCell ref="I46:J46"/>
    <mergeCell ref="C46:E46"/>
    <mergeCell ref="I47:J47"/>
    <mergeCell ref="C47:E47"/>
    <mergeCell ref="I48:J48"/>
    <mergeCell ref="C48:E48"/>
    <mergeCell ref="I49:J49"/>
    <mergeCell ref="C49:E49"/>
    <mergeCell ref="I50:J50"/>
    <mergeCell ref="C50:E50"/>
    <mergeCell ref="I51:J51"/>
    <mergeCell ref="C51:E51"/>
    <mergeCell ref="I52:J52"/>
    <mergeCell ref="C52:E52"/>
    <mergeCell ref="I53:J53"/>
    <mergeCell ref="C53:E53"/>
    <mergeCell ref="I54:J54"/>
    <mergeCell ref="C54:E54"/>
    <mergeCell ref="I55:J55"/>
    <mergeCell ref="C55:E55"/>
    <mergeCell ref="I56:J56"/>
    <mergeCell ref="C56:E56"/>
    <mergeCell ref="I57:J57"/>
    <mergeCell ref="C57:E57"/>
    <mergeCell ref="I58:J58"/>
    <mergeCell ref="C58:E58"/>
    <mergeCell ref="I59:J59"/>
    <mergeCell ref="C59:E59"/>
    <mergeCell ref="I64:J64"/>
    <mergeCell ref="I60:J60"/>
    <mergeCell ref="C60:E60"/>
    <mergeCell ref="I61:J61"/>
    <mergeCell ref="C61:E61"/>
    <mergeCell ref="I63:J63"/>
    <mergeCell ref="C63:E63"/>
    <mergeCell ref="C62:E62"/>
    <mergeCell ref="I62:J6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2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ColWidth="9.1796875" defaultRowHeight="12.5" x14ac:dyDescent="0.25"/>
  <cols>
    <col min="1" max="1" width="4.26953125" style="4" customWidth="1"/>
    <col min="2" max="2" width="14.453125" style="4" customWidth="1"/>
    <col min="3" max="3" width="38.26953125" style="8" customWidth="1"/>
    <col min="4" max="4" width="4.54296875" style="4" customWidth="1"/>
    <col min="5" max="5" width="10.54296875" style="4" customWidth="1"/>
    <col min="6" max="6" width="9.81640625" style="4" customWidth="1"/>
    <col min="7" max="7" width="12.7265625" style="4" customWidth="1"/>
    <col min="8" max="16384" width="9.1796875" style="4"/>
  </cols>
  <sheetData>
    <row r="1" spans="1:7" ht="15.5" x14ac:dyDescent="0.25">
      <c r="A1" s="449" t="s">
        <v>6</v>
      </c>
      <c r="B1" s="449"/>
      <c r="C1" s="450"/>
      <c r="D1" s="449"/>
      <c r="E1" s="449"/>
      <c r="F1" s="449"/>
      <c r="G1" s="449"/>
    </row>
    <row r="2" spans="1:7" ht="25" customHeight="1" x14ac:dyDescent="0.25">
      <c r="A2" s="68" t="s">
        <v>39</v>
      </c>
      <c r="B2" s="67"/>
      <c r="C2" s="451"/>
      <c r="D2" s="451"/>
      <c r="E2" s="451"/>
      <c r="F2" s="451"/>
      <c r="G2" s="452"/>
    </row>
    <row r="3" spans="1:7" ht="25" hidden="1" customHeight="1" x14ac:dyDescent="0.25">
      <c r="A3" s="68" t="s">
        <v>7</v>
      </c>
      <c r="B3" s="67"/>
      <c r="C3" s="451"/>
      <c r="D3" s="451"/>
      <c r="E3" s="451"/>
      <c r="F3" s="451"/>
      <c r="G3" s="452"/>
    </row>
    <row r="4" spans="1:7" ht="25" hidden="1" customHeight="1" x14ac:dyDescent="0.25">
      <c r="A4" s="68" t="s">
        <v>8</v>
      </c>
      <c r="B4" s="67"/>
      <c r="C4" s="451"/>
      <c r="D4" s="451"/>
      <c r="E4" s="451"/>
      <c r="F4" s="451"/>
      <c r="G4" s="452"/>
    </row>
    <row r="5" spans="1:7" hidden="1" x14ac:dyDescent="0.25">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38"/>
  <sheetViews>
    <sheetView workbookViewId="0">
      <selection activeCell="F9" sqref="F9"/>
    </sheetView>
  </sheetViews>
  <sheetFormatPr defaultRowHeight="12.5" outlineLevelRow="1" x14ac:dyDescent="0.25"/>
  <cols>
    <col min="1" max="1" width="4.26953125" customWidth="1"/>
    <col min="2" max="2" width="14.453125" style="83" customWidth="1"/>
    <col min="3" max="3" width="38.26953125" style="83" customWidth="1"/>
    <col min="4" max="4" width="4.54296875" customWidth="1"/>
    <col min="5" max="5" width="10.54296875" customWidth="1"/>
    <col min="6" max="6" width="9.81640625" customWidth="1"/>
    <col min="7" max="7" width="12.7265625" customWidth="1"/>
    <col min="8" max="13" width="0" hidden="1" customWidth="1"/>
    <col min="18" max="21" width="0" hidden="1" customWidth="1"/>
    <col min="29" max="39" width="0" hidden="1" customWidth="1"/>
  </cols>
  <sheetData>
    <row r="1" spans="1:60" ht="40" customHeight="1" x14ac:dyDescent="0.25">
      <c r="A1" s="465" t="s">
        <v>1213</v>
      </c>
      <c r="B1" s="466"/>
      <c r="C1" s="466"/>
      <c r="D1" s="466"/>
      <c r="E1" s="466"/>
      <c r="F1" s="466"/>
      <c r="G1" s="467"/>
      <c r="AE1" t="s">
        <v>99</v>
      </c>
    </row>
    <row r="2" spans="1:60" ht="25" customHeight="1" x14ac:dyDescent="0.25">
      <c r="A2" s="133" t="s">
        <v>98</v>
      </c>
      <c r="B2" s="131"/>
      <c r="C2" s="468" t="s">
        <v>42</v>
      </c>
      <c r="D2" s="469"/>
      <c r="E2" s="469"/>
      <c r="F2" s="469"/>
      <c r="G2" s="470"/>
      <c r="AE2" t="s">
        <v>100</v>
      </c>
    </row>
    <row r="3" spans="1:60" ht="25" hidden="1" customHeight="1" x14ac:dyDescent="0.25">
      <c r="A3" s="134" t="s">
        <v>7</v>
      </c>
      <c r="B3" s="132"/>
      <c r="C3" s="471"/>
      <c r="D3" s="472"/>
      <c r="E3" s="472"/>
      <c r="F3" s="472"/>
      <c r="G3" s="473"/>
      <c r="AE3" t="s">
        <v>101</v>
      </c>
    </row>
    <row r="4" spans="1:60" ht="25" hidden="1" customHeight="1" x14ac:dyDescent="0.25">
      <c r="A4" s="134" t="s">
        <v>8</v>
      </c>
      <c r="B4" s="132"/>
      <c r="C4" s="471"/>
      <c r="D4" s="472"/>
      <c r="E4" s="472"/>
      <c r="F4" s="472"/>
      <c r="G4" s="473"/>
      <c r="AE4" t="s">
        <v>102</v>
      </c>
    </row>
    <row r="5" spans="1:60" hidden="1" x14ac:dyDescent="0.25">
      <c r="A5" s="135" t="s">
        <v>103</v>
      </c>
      <c r="B5" s="136"/>
      <c r="C5" s="136"/>
      <c r="D5" s="137"/>
      <c r="E5" s="137"/>
      <c r="F5" s="137"/>
      <c r="G5" s="138"/>
      <c r="AE5" t="s">
        <v>104</v>
      </c>
    </row>
    <row r="7" spans="1:60" ht="37.5" x14ac:dyDescent="0.25">
      <c r="A7" s="143" t="s">
        <v>105</v>
      </c>
      <c r="B7" s="144" t="s">
        <v>106</v>
      </c>
      <c r="C7" s="144" t="s">
        <v>107</v>
      </c>
      <c r="D7" s="143" t="s">
        <v>108</v>
      </c>
      <c r="E7" s="143" t="s">
        <v>109</v>
      </c>
      <c r="F7" s="139" t="s">
        <v>110</v>
      </c>
      <c r="G7" s="160" t="s">
        <v>28</v>
      </c>
      <c r="H7" s="161" t="s">
        <v>29</v>
      </c>
      <c r="I7" s="161" t="s">
        <v>111</v>
      </c>
      <c r="J7" s="161" t="s">
        <v>30</v>
      </c>
      <c r="K7" s="161" t="s">
        <v>112</v>
      </c>
      <c r="L7" s="161" t="s">
        <v>113</v>
      </c>
      <c r="M7" s="161" t="s">
        <v>114</v>
      </c>
      <c r="N7" s="161" t="s">
        <v>115</v>
      </c>
      <c r="O7" s="161" t="s">
        <v>116</v>
      </c>
      <c r="P7" s="161" t="s">
        <v>117</v>
      </c>
      <c r="Q7" s="161" t="s">
        <v>118</v>
      </c>
      <c r="R7" s="161" t="s">
        <v>119</v>
      </c>
      <c r="S7" s="161" t="s">
        <v>120</v>
      </c>
      <c r="T7" s="161" t="s">
        <v>121</v>
      </c>
      <c r="U7" s="146" t="s">
        <v>122</v>
      </c>
      <c r="X7" s="140"/>
      <c r="Y7" s="140"/>
    </row>
    <row r="8" spans="1:60" x14ac:dyDescent="0.25">
      <c r="A8" s="162" t="s">
        <v>123</v>
      </c>
      <c r="B8" s="163" t="s">
        <v>52</v>
      </c>
      <c r="C8" s="164" t="s">
        <v>53</v>
      </c>
      <c r="D8" s="165"/>
      <c r="E8" s="166"/>
      <c r="F8" s="167"/>
      <c r="G8" s="167">
        <f>SUMIF(AE9:AE12,"&lt;&gt;NOR",G9:G12)</f>
        <v>0</v>
      </c>
      <c r="H8" s="167"/>
      <c r="I8" s="167">
        <f>SUM(I9:I12)</f>
        <v>0</v>
      </c>
      <c r="J8" s="167"/>
      <c r="K8" s="167">
        <f>SUM(K9:K12)</f>
        <v>0</v>
      </c>
      <c r="L8" s="167"/>
      <c r="M8" s="167">
        <f>SUM(M9:M12)</f>
        <v>0</v>
      </c>
      <c r="N8" s="145"/>
      <c r="O8" s="145">
        <f>SUM(O9:O12)</f>
        <v>2.1302300000000001</v>
      </c>
      <c r="P8" s="145"/>
      <c r="Q8" s="145">
        <f>SUM(Q9:Q12)</f>
        <v>2.1302300000000001</v>
      </c>
      <c r="R8" s="145"/>
      <c r="S8" s="145"/>
      <c r="T8" s="162"/>
      <c r="U8" s="145">
        <f>SUM(U9:U12)</f>
        <v>8.07</v>
      </c>
      <c r="X8" s="140"/>
      <c r="Y8" s="140"/>
      <c r="AE8" t="s">
        <v>124</v>
      </c>
    </row>
    <row r="9" spans="1:60" outlineLevel="1" x14ac:dyDescent="0.25">
      <c r="A9" s="141">
        <v>1</v>
      </c>
      <c r="B9" s="141" t="s">
        <v>125</v>
      </c>
      <c r="C9" s="178" t="s">
        <v>126</v>
      </c>
      <c r="D9" s="147" t="s">
        <v>127</v>
      </c>
      <c r="E9" s="154">
        <v>1.2755842500000001</v>
      </c>
      <c r="F9" s="157"/>
      <c r="G9" s="158">
        <f>ROUND(E9*F9,2)</f>
        <v>0</v>
      </c>
      <c r="H9" s="158"/>
      <c r="I9" s="158">
        <f>ROUND(E9*H9,2)</f>
        <v>0</v>
      </c>
      <c r="J9" s="158"/>
      <c r="K9" s="158">
        <f>ROUND(E9*J9,2)</f>
        <v>0</v>
      </c>
      <c r="L9" s="158">
        <v>21</v>
      </c>
      <c r="M9" s="158">
        <f>G9*(1+L9/100)</f>
        <v>0</v>
      </c>
      <c r="N9" s="148">
        <v>0</v>
      </c>
      <c r="O9" s="148">
        <f>ROUND(E9*N9,5)</f>
        <v>0</v>
      </c>
      <c r="P9" s="148">
        <v>1.67</v>
      </c>
      <c r="Q9" s="148">
        <f>ROUND(E9*P9,5)</f>
        <v>2.1302300000000001</v>
      </c>
      <c r="R9" s="148"/>
      <c r="S9" s="148"/>
      <c r="T9" s="149">
        <v>4.7279999999999998</v>
      </c>
      <c r="U9" s="148">
        <f>ROUND(E9*T9,2)</f>
        <v>6.03</v>
      </c>
      <c r="V9" s="140"/>
      <c r="W9" s="140"/>
      <c r="X9" s="140"/>
      <c r="Y9" s="140"/>
      <c r="Z9" s="140"/>
      <c r="AA9" s="140"/>
      <c r="AB9" s="140"/>
      <c r="AC9" s="140"/>
      <c r="AD9" s="140"/>
      <c r="AE9" s="140" t="s">
        <v>128</v>
      </c>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0" outlineLevel="1" x14ac:dyDescent="0.25">
      <c r="A10" s="141"/>
      <c r="B10" s="141"/>
      <c r="C10" s="179" t="s">
        <v>129</v>
      </c>
      <c r="D10" s="150"/>
      <c r="E10" s="155">
        <v>1.2755842500000001</v>
      </c>
      <c r="F10" s="158"/>
      <c r="G10" s="158"/>
      <c r="H10" s="158"/>
      <c r="I10" s="158"/>
      <c r="J10" s="158"/>
      <c r="K10" s="158"/>
      <c r="L10" s="158"/>
      <c r="M10" s="158"/>
      <c r="N10" s="148"/>
      <c r="O10" s="148"/>
      <c r="P10" s="148"/>
      <c r="Q10" s="148"/>
      <c r="R10" s="148"/>
      <c r="S10" s="148"/>
      <c r="T10" s="149"/>
      <c r="U10" s="148"/>
      <c r="V10" s="140"/>
      <c r="W10" s="140"/>
      <c r="X10" s="140"/>
      <c r="Y10" s="140"/>
      <c r="Z10" s="140"/>
      <c r="AA10" s="140"/>
      <c r="AB10" s="140"/>
      <c r="AC10" s="140"/>
      <c r="AD10" s="140"/>
      <c r="AE10" s="140" t="s">
        <v>130</v>
      </c>
      <c r="AF10" s="140">
        <v>0</v>
      </c>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x14ac:dyDescent="0.25">
      <c r="A11" s="141">
        <v>2</v>
      </c>
      <c r="B11" s="141" t="s">
        <v>131</v>
      </c>
      <c r="C11" s="178" t="s">
        <v>132</v>
      </c>
      <c r="D11" s="147" t="s">
        <v>127</v>
      </c>
      <c r="E11" s="154">
        <v>1.2755842500000001</v>
      </c>
      <c r="F11" s="157"/>
      <c r="G11" s="158">
        <f>ROUND(E11*F11,2)</f>
        <v>0</v>
      </c>
      <c r="H11" s="158"/>
      <c r="I11" s="158">
        <f>ROUND(E11*H11,2)</f>
        <v>0</v>
      </c>
      <c r="J11" s="158"/>
      <c r="K11" s="158">
        <f>ROUND(E11*J11,2)</f>
        <v>0</v>
      </c>
      <c r="L11" s="158">
        <v>21</v>
      </c>
      <c r="M11" s="158">
        <f>G11*(1+L11/100)</f>
        <v>0</v>
      </c>
      <c r="N11" s="148">
        <v>1.67</v>
      </c>
      <c r="O11" s="148">
        <f>ROUND(E11*N11,5)</f>
        <v>2.1302300000000001</v>
      </c>
      <c r="P11" s="148">
        <v>0</v>
      </c>
      <c r="Q11" s="148">
        <f>ROUND(E11*P11,5)</f>
        <v>0</v>
      </c>
      <c r="R11" s="148"/>
      <c r="S11" s="148"/>
      <c r="T11" s="149">
        <v>1.5980000000000001</v>
      </c>
      <c r="U11" s="148">
        <f>ROUND(E11*T11,2)</f>
        <v>2.04</v>
      </c>
      <c r="V11" s="140"/>
      <c r="W11" s="140"/>
      <c r="X11" s="140"/>
      <c r="Y11" s="140"/>
      <c r="Z11" s="140"/>
      <c r="AA11" s="140"/>
      <c r="AB11" s="140"/>
      <c r="AC11" s="140"/>
      <c r="AD11" s="140"/>
      <c r="AE11" s="140" t="s">
        <v>133</v>
      </c>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20" outlineLevel="1" x14ac:dyDescent="0.25">
      <c r="A12" s="141"/>
      <c r="B12" s="141"/>
      <c r="C12" s="179" t="s">
        <v>129</v>
      </c>
      <c r="D12" s="150"/>
      <c r="E12" s="155">
        <v>1.2755842500000001</v>
      </c>
      <c r="F12" s="158"/>
      <c r="G12" s="158"/>
      <c r="H12" s="158"/>
      <c r="I12" s="158"/>
      <c r="J12" s="158"/>
      <c r="K12" s="158"/>
      <c r="L12" s="158"/>
      <c r="M12" s="158"/>
      <c r="N12" s="148"/>
      <c r="O12" s="148"/>
      <c r="P12" s="148"/>
      <c r="Q12" s="148"/>
      <c r="R12" s="148"/>
      <c r="S12" s="148"/>
      <c r="T12" s="149"/>
      <c r="U12" s="148"/>
      <c r="V12" s="140"/>
      <c r="W12" s="140"/>
      <c r="X12" s="140"/>
      <c r="Y12" s="140"/>
      <c r="Z12" s="140"/>
      <c r="AA12" s="140"/>
      <c r="AB12" s="140"/>
      <c r="AC12" s="140"/>
      <c r="AD12" s="140"/>
      <c r="AE12" s="140" t="s">
        <v>130</v>
      </c>
      <c r="AF12" s="140">
        <v>0</v>
      </c>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x14ac:dyDescent="0.25">
      <c r="A13" s="142" t="s">
        <v>123</v>
      </c>
      <c r="B13" s="142" t="s">
        <v>54</v>
      </c>
      <c r="C13" s="180" t="s">
        <v>55</v>
      </c>
      <c r="D13" s="151"/>
      <c r="E13" s="156"/>
      <c r="F13" s="159"/>
      <c r="G13" s="159">
        <f>SUMIF(AE14:AE19,"&lt;&gt;NOR",G14:G19)</f>
        <v>0</v>
      </c>
      <c r="H13" s="159"/>
      <c r="I13" s="159">
        <f>SUM(I14:I19)</f>
        <v>0</v>
      </c>
      <c r="J13" s="159"/>
      <c r="K13" s="159">
        <f>SUM(K14:K19)</f>
        <v>0</v>
      </c>
      <c r="L13" s="159"/>
      <c r="M13" s="159">
        <f>SUM(M14:M19)</f>
        <v>0</v>
      </c>
      <c r="N13" s="152"/>
      <c r="O13" s="152">
        <f>SUM(O14:O19)</f>
        <v>0.45338999999999996</v>
      </c>
      <c r="P13" s="152"/>
      <c r="Q13" s="152">
        <f>SUM(Q14:Q19)</f>
        <v>0</v>
      </c>
      <c r="R13" s="152"/>
      <c r="S13" s="152"/>
      <c r="T13" s="153"/>
      <c r="U13" s="152">
        <f>SUM(U14:U19)</f>
        <v>3.8899999999999997</v>
      </c>
      <c r="AE13" t="s">
        <v>124</v>
      </c>
    </row>
    <row r="14" spans="1:60" outlineLevel="1" x14ac:dyDescent="0.25">
      <c r="A14" s="141">
        <v>3</v>
      </c>
      <c r="B14" s="141" t="s">
        <v>134</v>
      </c>
      <c r="C14" s="178" t="s">
        <v>135</v>
      </c>
      <c r="D14" s="147" t="s">
        <v>136</v>
      </c>
      <c r="E14" s="154">
        <v>1</v>
      </c>
      <c r="F14" s="157"/>
      <c r="G14" s="158">
        <f>ROUND(E14*F14,2)</f>
        <v>0</v>
      </c>
      <c r="H14" s="158"/>
      <c r="I14" s="158">
        <f>ROUND(E14*H14,2)</f>
        <v>0</v>
      </c>
      <c r="J14" s="158"/>
      <c r="K14" s="158">
        <f>ROUND(E14*J14,2)</f>
        <v>0</v>
      </c>
      <c r="L14" s="158">
        <v>21</v>
      </c>
      <c r="M14" s="158">
        <f>G14*(1+L14/100)</f>
        <v>0</v>
      </c>
      <c r="N14" s="148">
        <v>0</v>
      </c>
      <c r="O14" s="148">
        <f>ROUND(E14*N14,5)</f>
        <v>0</v>
      </c>
      <c r="P14" s="148">
        <v>0</v>
      </c>
      <c r="Q14" s="148">
        <f>ROUND(E14*P14,5)</f>
        <v>0</v>
      </c>
      <c r="R14" s="148"/>
      <c r="S14" s="148"/>
      <c r="T14" s="149">
        <v>0</v>
      </c>
      <c r="U14" s="148">
        <f>ROUND(E14*T14,2)</f>
        <v>0</v>
      </c>
      <c r="V14" s="140"/>
      <c r="W14" s="140"/>
      <c r="X14" s="140"/>
      <c r="Y14" s="140"/>
      <c r="Z14" s="140"/>
      <c r="AA14" s="140"/>
      <c r="AB14" s="140"/>
      <c r="AC14" s="140"/>
      <c r="AD14" s="140"/>
      <c r="AE14" s="140" t="s">
        <v>128</v>
      </c>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x14ac:dyDescent="0.25">
      <c r="A15" s="141"/>
      <c r="B15" s="141"/>
      <c r="C15" s="179" t="s">
        <v>52</v>
      </c>
      <c r="D15" s="150"/>
      <c r="E15" s="155">
        <v>1</v>
      </c>
      <c r="F15" s="158"/>
      <c r="G15" s="158"/>
      <c r="H15" s="158"/>
      <c r="I15" s="158"/>
      <c r="J15" s="158"/>
      <c r="K15" s="158"/>
      <c r="L15" s="158"/>
      <c r="M15" s="158"/>
      <c r="N15" s="148"/>
      <c r="O15" s="148"/>
      <c r="P15" s="148"/>
      <c r="Q15" s="148"/>
      <c r="R15" s="148"/>
      <c r="S15" s="148"/>
      <c r="T15" s="149"/>
      <c r="U15" s="148"/>
      <c r="V15" s="140"/>
      <c r="W15" s="140"/>
      <c r="X15" s="140"/>
      <c r="Y15" s="140"/>
      <c r="Z15" s="140"/>
      <c r="AA15" s="140"/>
      <c r="AB15" s="140"/>
      <c r="AC15" s="140"/>
      <c r="AD15" s="140"/>
      <c r="AE15" s="140" t="s">
        <v>130</v>
      </c>
      <c r="AF15" s="140">
        <v>0</v>
      </c>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x14ac:dyDescent="0.25">
      <c r="A16" s="141">
        <v>4</v>
      </c>
      <c r="B16" s="141" t="s">
        <v>137</v>
      </c>
      <c r="C16" s="178" t="s">
        <v>138</v>
      </c>
      <c r="D16" s="147" t="s">
        <v>139</v>
      </c>
      <c r="E16" s="154">
        <v>5.8650000000000002</v>
      </c>
      <c r="F16" s="157"/>
      <c r="G16" s="158">
        <f>ROUND(E16*F16,2)</f>
        <v>0</v>
      </c>
      <c r="H16" s="158"/>
      <c r="I16" s="158">
        <f>ROUND(E16*H16,2)</f>
        <v>0</v>
      </c>
      <c r="J16" s="158"/>
      <c r="K16" s="158">
        <f>ROUND(E16*J16,2)</f>
        <v>0</v>
      </c>
      <c r="L16" s="158">
        <v>21</v>
      </c>
      <c r="M16" s="158">
        <f>G16*(1+L16/100)</f>
        <v>0</v>
      </c>
      <c r="N16" s="148">
        <v>3.7670000000000002E-2</v>
      </c>
      <c r="O16" s="148">
        <f>ROUND(E16*N16,5)</f>
        <v>0.22092999999999999</v>
      </c>
      <c r="P16" s="148">
        <v>0</v>
      </c>
      <c r="Q16" s="148">
        <f>ROUND(E16*P16,5)</f>
        <v>0</v>
      </c>
      <c r="R16" s="148"/>
      <c r="S16" s="148"/>
      <c r="T16" s="149">
        <v>0.41</v>
      </c>
      <c r="U16" s="148">
        <f>ROUND(E16*T16,2)</f>
        <v>2.4</v>
      </c>
      <c r="V16" s="140"/>
      <c r="W16" s="140"/>
      <c r="X16" s="140"/>
      <c r="Y16" s="140"/>
      <c r="Z16" s="140"/>
      <c r="AA16" s="140"/>
      <c r="AB16" s="140"/>
      <c r="AC16" s="140"/>
      <c r="AD16" s="140"/>
      <c r="AE16" s="140" t="s">
        <v>128</v>
      </c>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x14ac:dyDescent="0.25">
      <c r="A17" s="141"/>
      <c r="B17" s="141"/>
      <c r="C17" s="179" t="s">
        <v>140</v>
      </c>
      <c r="D17" s="150"/>
      <c r="E17" s="155">
        <v>5.8650000000000002</v>
      </c>
      <c r="F17" s="158"/>
      <c r="G17" s="158"/>
      <c r="H17" s="158"/>
      <c r="I17" s="158"/>
      <c r="J17" s="158"/>
      <c r="K17" s="158"/>
      <c r="L17" s="158"/>
      <c r="M17" s="158"/>
      <c r="N17" s="148"/>
      <c r="O17" s="148"/>
      <c r="P17" s="148"/>
      <c r="Q17" s="148"/>
      <c r="R17" s="148"/>
      <c r="S17" s="148"/>
      <c r="T17" s="149"/>
      <c r="U17" s="148"/>
      <c r="V17" s="140"/>
      <c r="W17" s="140"/>
      <c r="X17" s="140"/>
      <c r="Y17" s="140"/>
      <c r="Z17" s="140"/>
      <c r="AA17" s="140"/>
      <c r="AB17" s="140"/>
      <c r="AC17" s="140"/>
      <c r="AD17" s="140"/>
      <c r="AE17" s="140" t="s">
        <v>130</v>
      </c>
      <c r="AF17" s="140">
        <v>0</v>
      </c>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x14ac:dyDescent="0.25">
      <c r="A18" s="141">
        <v>5</v>
      </c>
      <c r="B18" s="141" t="s">
        <v>141</v>
      </c>
      <c r="C18" s="178" t="s">
        <v>142</v>
      </c>
      <c r="D18" s="147" t="s">
        <v>139</v>
      </c>
      <c r="E18" s="154">
        <v>2.2425000000000002</v>
      </c>
      <c r="F18" s="157"/>
      <c r="G18" s="158">
        <f>ROUND(E18*F18,2)</f>
        <v>0</v>
      </c>
      <c r="H18" s="158"/>
      <c r="I18" s="158">
        <f>ROUND(E18*H18,2)</f>
        <v>0</v>
      </c>
      <c r="J18" s="158"/>
      <c r="K18" s="158">
        <f>ROUND(E18*J18,2)</f>
        <v>0</v>
      </c>
      <c r="L18" s="158">
        <v>21</v>
      </c>
      <c r="M18" s="158">
        <f>G18*(1+L18/100)</f>
        <v>0</v>
      </c>
      <c r="N18" s="148">
        <v>0.10366</v>
      </c>
      <c r="O18" s="148">
        <f>ROUND(E18*N18,5)</f>
        <v>0.23246</v>
      </c>
      <c r="P18" s="148">
        <v>0</v>
      </c>
      <c r="Q18" s="148">
        <f>ROUND(E18*P18,5)</f>
        <v>0</v>
      </c>
      <c r="R18" s="148"/>
      <c r="S18" s="148"/>
      <c r="T18" s="149">
        <v>0.66600000000000004</v>
      </c>
      <c r="U18" s="148">
        <f>ROUND(E18*T18,2)</f>
        <v>1.49</v>
      </c>
      <c r="V18" s="140"/>
      <c r="W18" s="140"/>
      <c r="X18" s="140"/>
      <c r="Y18" s="140"/>
      <c r="Z18" s="140"/>
      <c r="AA18" s="140"/>
      <c r="AB18" s="140"/>
      <c r="AC18" s="140"/>
      <c r="AD18" s="140"/>
      <c r="AE18" s="140" t="s">
        <v>128</v>
      </c>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x14ac:dyDescent="0.25">
      <c r="A19" s="141"/>
      <c r="B19" s="141"/>
      <c r="C19" s="179" t="s">
        <v>143</v>
      </c>
      <c r="D19" s="150"/>
      <c r="E19" s="155">
        <v>2.2425000000000002</v>
      </c>
      <c r="F19" s="158"/>
      <c r="G19" s="158"/>
      <c r="H19" s="158"/>
      <c r="I19" s="158"/>
      <c r="J19" s="158"/>
      <c r="K19" s="158"/>
      <c r="L19" s="158"/>
      <c r="M19" s="158"/>
      <c r="N19" s="148"/>
      <c r="O19" s="148"/>
      <c r="P19" s="148"/>
      <c r="Q19" s="148"/>
      <c r="R19" s="148"/>
      <c r="S19" s="148"/>
      <c r="T19" s="149"/>
      <c r="U19" s="148"/>
      <c r="V19" s="140"/>
      <c r="W19" s="140"/>
      <c r="X19" s="140"/>
      <c r="Y19" s="140"/>
      <c r="Z19" s="140"/>
      <c r="AA19" s="140"/>
      <c r="AB19" s="140"/>
      <c r="AC19" s="140"/>
      <c r="AD19" s="140"/>
      <c r="AE19" s="140" t="s">
        <v>130</v>
      </c>
      <c r="AF19" s="140">
        <v>0</v>
      </c>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x14ac:dyDescent="0.25">
      <c r="A20" s="142" t="s">
        <v>123</v>
      </c>
      <c r="B20" s="142" t="s">
        <v>56</v>
      </c>
      <c r="C20" s="180" t="s">
        <v>57</v>
      </c>
      <c r="D20" s="151"/>
      <c r="E20" s="156"/>
      <c r="F20" s="159"/>
      <c r="G20" s="159">
        <f>SUMIF(AE21:AE38,"&lt;&gt;NOR",G21:G38)</f>
        <v>0</v>
      </c>
      <c r="H20" s="159"/>
      <c r="I20" s="159">
        <f>SUM(I21:I38)</f>
        <v>0</v>
      </c>
      <c r="J20" s="159"/>
      <c r="K20" s="159">
        <f>SUM(K21:K38)</f>
        <v>0</v>
      </c>
      <c r="L20" s="159"/>
      <c r="M20" s="159">
        <f>SUM(M21:M38)</f>
        <v>0</v>
      </c>
      <c r="N20" s="152"/>
      <c r="O20" s="152">
        <f>SUM(O21:O38)</f>
        <v>9.1384600000000002</v>
      </c>
      <c r="P20" s="152"/>
      <c r="Q20" s="152">
        <f>SUM(Q21:Q38)</f>
        <v>0</v>
      </c>
      <c r="R20" s="152"/>
      <c r="S20" s="152"/>
      <c r="T20" s="153"/>
      <c r="U20" s="152">
        <f>SUM(U21:U38)</f>
        <v>47.260000000000005</v>
      </c>
      <c r="AE20" t="s">
        <v>124</v>
      </c>
    </row>
    <row r="21" spans="1:60" outlineLevel="1" x14ac:dyDescent="0.25">
      <c r="A21" s="141">
        <v>6</v>
      </c>
      <c r="B21" s="141" t="s">
        <v>144</v>
      </c>
      <c r="C21" s="178" t="s">
        <v>145</v>
      </c>
      <c r="D21" s="147" t="s">
        <v>127</v>
      </c>
      <c r="E21" s="154">
        <v>2.47814545</v>
      </c>
      <c r="F21" s="157"/>
      <c r="G21" s="158">
        <f>ROUND(E21*F21,2)</f>
        <v>0</v>
      </c>
      <c r="H21" s="158"/>
      <c r="I21" s="158">
        <f>ROUND(E21*H21,2)</f>
        <v>0</v>
      </c>
      <c r="J21" s="158"/>
      <c r="K21" s="158">
        <f>ROUND(E21*J21,2)</f>
        <v>0</v>
      </c>
      <c r="L21" s="158">
        <v>21</v>
      </c>
      <c r="M21" s="158">
        <f>G21*(1+L21/100)</f>
        <v>0</v>
      </c>
      <c r="N21" s="148">
        <v>1.919</v>
      </c>
      <c r="O21" s="148">
        <f>ROUND(E21*N21,5)</f>
        <v>4.75556</v>
      </c>
      <c r="P21" s="148">
        <v>0</v>
      </c>
      <c r="Q21" s="148">
        <f>ROUND(E21*P21,5)</f>
        <v>0</v>
      </c>
      <c r="R21" s="148"/>
      <c r="S21" s="148"/>
      <c r="T21" s="149">
        <v>3.2130000000000001</v>
      </c>
      <c r="U21" s="148">
        <f>ROUND(E21*T21,2)</f>
        <v>7.96</v>
      </c>
      <c r="V21" s="140"/>
      <c r="W21" s="140"/>
      <c r="X21" s="140"/>
      <c r="Y21" s="140"/>
      <c r="Z21" s="140"/>
      <c r="AA21" s="140"/>
      <c r="AB21" s="140"/>
      <c r="AC21" s="140"/>
      <c r="AD21" s="140"/>
      <c r="AE21" s="140" t="s">
        <v>128</v>
      </c>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x14ac:dyDescent="0.25">
      <c r="A22" s="141"/>
      <c r="B22" s="141"/>
      <c r="C22" s="179" t="s">
        <v>146</v>
      </c>
      <c r="D22" s="150"/>
      <c r="E22" s="155">
        <v>0.15179999999999999</v>
      </c>
      <c r="F22" s="158"/>
      <c r="G22" s="158"/>
      <c r="H22" s="158"/>
      <c r="I22" s="158"/>
      <c r="J22" s="158"/>
      <c r="K22" s="158"/>
      <c r="L22" s="158"/>
      <c r="M22" s="158"/>
      <c r="N22" s="148"/>
      <c r="O22" s="148"/>
      <c r="P22" s="148"/>
      <c r="Q22" s="148"/>
      <c r="R22" s="148"/>
      <c r="S22" s="148"/>
      <c r="T22" s="149"/>
      <c r="U22" s="148"/>
      <c r="V22" s="140"/>
      <c r="W22" s="140"/>
      <c r="X22" s="140"/>
      <c r="Y22" s="140"/>
      <c r="Z22" s="140"/>
      <c r="AA22" s="140"/>
      <c r="AB22" s="140"/>
      <c r="AC22" s="140"/>
      <c r="AD22" s="140"/>
      <c r="AE22" s="140" t="s">
        <v>130</v>
      </c>
      <c r="AF22" s="140">
        <v>0</v>
      </c>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30" outlineLevel="1" x14ac:dyDescent="0.25">
      <c r="A23" s="141"/>
      <c r="B23" s="141"/>
      <c r="C23" s="179" t="s">
        <v>147</v>
      </c>
      <c r="D23" s="150"/>
      <c r="E23" s="155">
        <v>0.23452000000000001</v>
      </c>
      <c r="F23" s="158"/>
      <c r="G23" s="158"/>
      <c r="H23" s="158"/>
      <c r="I23" s="158"/>
      <c r="J23" s="158"/>
      <c r="K23" s="158"/>
      <c r="L23" s="158"/>
      <c r="M23" s="158"/>
      <c r="N23" s="148"/>
      <c r="O23" s="148"/>
      <c r="P23" s="148"/>
      <c r="Q23" s="148"/>
      <c r="R23" s="148"/>
      <c r="S23" s="148"/>
      <c r="T23" s="149"/>
      <c r="U23" s="148"/>
      <c r="V23" s="140"/>
      <c r="W23" s="140"/>
      <c r="X23" s="140"/>
      <c r="Y23" s="140"/>
      <c r="Z23" s="140"/>
      <c r="AA23" s="140"/>
      <c r="AB23" s="140"/>
      <c r="AC23" s="140"/>
      <c r="AD23" s="140"/>
      <c r="AE23" s="140" t="s">
        <v>130</v>
      </c>
      <c r="AF23" s="140">
        <v>0</v>
      </c>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ht="30" outlineLevel="1" x14ac:dyDescent="0.25">
      <c r="A24" s="141"/>
      <c r="B24" s="141"/>
      <c r="C24" s="179" t="s">
        <v>148</v>
      </c>
      <c r="D24" s="150"/>
      <c r="E24" s="155">
        <v>0.57110625000000004</v>
      </c>
      <c r="F24" s="158"/>
      <c r="G24" s="158"/>
      <c r="H24" s="158"/>
      <c r="I24" s="158"/>
      <c r="J24" s="158"/>
      <c r="K24" s="158"/>
      <c r="L24" s="158"/>
      <c r="M24" s="158"/>
      <c r="N24" s="148"/>
      <c r="O24" s="148"/>
      <c r="P24" s="148"/>
      <c r="Q24" s="148"/>
      <c r="R24" s="148"/>
      <c r="S24" s="148"/>
      <c r="T24" s="149"/>
      <c r="U24" s="148"/>
      <c r="V24" s="140"/>
      <c r="W24" s="140"/>
      <c r="X24" s="140"/>
      <c r="Y24" s="140"/>
      <c r="Z24" s="140"/>
      <c r="AA24" s="140"/>
      <c r="AB24" s="140"/>
      <c r="AC24" s="140"/>
      <c r="AD24" s="140"/>
      <c r="AE24" s="140" t="s">
        <v>130</v>
      </c>
      <c r="AF24" s="140">
        <v>0</v>
      </c>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0" outlineLevel="1" x14ac:dyDescent="0.25">
      <c r="A25" s="141"/>
      <c r="B25" s="141"/>
      <c r="C25" s="179" t="s">
        <v>149</v>
      </c>
      <c r="D25" s="150"/>
      <c r="E25" s="155">
        <v>0.49299607499999998</v>
      </c>
      <c r="F25" s="158"/>
      <c r="G25" s="158"/>
      <c r="H25" s="158"/>
      <c r="I25" s="158"/>
      <c r="J25" s="158"/>
      <c r="K25" s="158"/>
      <c r="L25" s="158"/>
      <c r="M25" s="158"/>
      <c r="N25" s="148"/>
      <c r="O25" s="148"/>
      <c r="P25" s="148"/>
      <c r="Q25" s="148"/>
      <c r="R25" s="148"/>
      <c r="S25" s="148"/>
      <c r="T25" s="149"/>
      <c r="U25" s="148"/>
      <c r="V25" s="140"/>
      <c r="W25" s="140"/>
      <c r="X25" s="140"/>
      <c r="Y25" s="140"/>
      <c r="Z25" s="140"/>
      <c r="AA25" s="140"/>
      <c r="AB25" s="140"/>
      <c r="AC25" s="140"/>
      <c r="AD25" s="140"/>
      <c r="AE25" s="140" t="s">
        <v>130</v>
      </c>
      <c r="AF25" s="140">
        <v>0</v>
      </c>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0" outlineLevel="1" x14ac:dyDescent="0.25">
      <c r="A26" s="141"/>
      <c r="B26" s="141"/>
      <c r="C26" s="179" t="s">
        <v>150</v>
      </c>
      <c r="D26" s="150"/>
      <c r="E26" s="155">
        <v>0.71589375</v>
      </c>
      <c r="F26" s="158"/>
      <c r="G26" s="158"/>
      <c r="H26" s="158"/>
      <c r="I26" s="158"/>
      <c r="J26" s="158"/>
      <c r="K26" s="158"/>
      <c r="L26" s="158"/>
      <c r="M26" s="158"/>
      <c r="N26" s="148"/>
      <c r="O26" s="148"/>
      <c r="P26" s="148"/>
      <c r="Q26" s="148"/>
      <c r="R26" s="148"/>
      <c r="S26" s="148"/>
      <c r="T26" s="149"/>
      <c r="U26" s="148"/>
      <c r="V26" s="140"/>
      <c r="W26" s="140"/>
      <c r="X26" s="140"/>
      <c r="Y26" s="140"/>
      <c r="Z26" s="140"/>
      <c r="AA26" s="140"/>
      <c r="AB26" s="140"/>
      <c r="AC26" s="140"/>
      <c r="AD26" s="140"/>
      <c r="AE26" s="140" t="s">
        <v>130</v>
      </c>
      <c r="AF26" s="140">
        <v>0</v>
      </c>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x14ac:dyDescent="0.25">
      <c r="A27" s="141"/>
      <c r="B27" s="141"/>
      <c r="C27" s="179" t="s">
        <v>151</v>
      </c>
      <c r="D27" s="150"/>
      <c r="E27" s="155">
        <v>0.31182937500000002</v>
      </c>
      <c r="F27" s="158"/>
      <c r="G27" s="158"/>
      <c r="H27" s="158"/>
      <c r="I27" s="158"/>
      <c r="J27" s="158"/>
      <c r="K27" s="158"/>
      <c r="L27" s="158"/>
      <c r="M27" s="158"/>
      <c r="N27" s="148"/>
      <c r="O27" s="148"/>
      <c r="P27" s="148"/>
      <c r="Q27" s="148"/>
      <c r="R27" s="148"/>
      <c r="S27" s="148"/>
      <c r="T27" s="149"/>
      <c r="U27" s="148"/>
      <c r="V27" s="140"/>
      <c r="W27" s="140"/>
      <c r="X27" s="140"/>
      <c r="Y27" s="140"/>
      <c r="Z27" s="140"/>
      <c r="AA27" s="140"/>
      <c r="AB27" s="140"/>
      <c r="AC27" s="140"/>
      <c r="AD27" s="140"/>
      <c r="AE27" s="140" t="s">
        <v>130</v>
      </c>
      <c r="AF27" s="140">
        <v>0</v>
      </c>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20" outlineLevel="1" x14ac:dyDescent="0.25">
      <c r="A28" s="141">
        <v>7</v>
      </c>
      <c r="B28" s="141" t="s">
        <v>152</v>
      </c>
      <c r="C28" s="178" t="s">
        <v>153</v>
      </c>
      <c r="D28" s="147" t="s">
        <v>154</v>
      </c>
      <c r="E28" s="154">
        <v>6.3E-2</v>
      </c>
      <c r="F28" s="157"/>
      <c r="G28" s="158">
        <f>ROUND(E28*F28,2)</f>
        <v>0</v>
      </c>
      <c r="H28" s="158"/>
      <c r="I28" s="158">
        <f>ROUND(E28*H28,2)</f>
        <v>0</v>
      </c>
      <c r="J28" s="158"/>
      <c r="K28" s="158">
        <f>ROUND(E28*J28,2)</f>
        <v>0</v>
      </c>
      <c r="L28" s="158">
        <v>21</v>
      </c>
      <c r="M28" s="158">
        <f>G28*(1+L28/100)</f>
        <v>0</v>
      </c>
      <c r="N28" s="148">
        <v>1.0662499999999999</v>
      </c>
      <c r="O28" s="148">
        <f>ROUND(E28*N28,5)</f>
        <v>6.7169999999999994E-2</v>
      </c>
      <c r="P28" s="148">
        <v>0</v>
      </c>
      <c r="Q28" s="148">
        <f>ROUND(E28*P28,5)</f>
        <v>0</v>
      </c>
      <c r="R28" s="148"/>
      <c r="S28" s="148"/>
      <c r="T28" s="149">
        <v>15.231</v>
      </c>
      <c r="U28" s="148">
        <f>ROUND(E28*T28,2)</f>
        <v>0.96</v>
      </c>
      <c r="V28" s="140"/>
      <c r="W28" s="140"/>
      <c r="X28" s="140"/>
      <c r="Y28" s="140"/>
      <c r="Z28" s="140"/>
      <c r="AA28" s="140"/>
      <c r="AB28" s="140"/>
      <c r="AC28" s="140"/>
      <c r="AD28" s="140"/>
      <c r="AE28" s="140" t="s">
        <v>128</v>
      </c>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x14ac:dyDescent="0.25">
      <c r="A29" s="141"/>
      <c r="B29" s="141"/>
      <c r="C29" s="179" t="s">
        <v>155</v>
      </c>
      <c r="D29" s="150"/>
      <c r="E29" s="155">
        <v>6.3E-2</v>
      </c>
      <c r="F29" s="158"/>
      <c r="G29" s="158"/>
      <c r="H29" s="158"/>
      <c r="I29" s="158"/>
      <c r="J29" s="158"/>
      <c r="K29" s="158"/>
      <c r="L29" s="158"/>
      <c r="M29" s="158"/>
      <c r="N29" s="148"/>
      <c r="O29" s="148"/>
      <c r="P29" s="148"/>
      <c r="Q29" s="148"/>
      <c r="R29" s="148"/>
      <c r="S29" s="148"/>
      <c r="T29" s="149"/>
      <c r="U29" s="148"/>
      <c r="V29" s="140"/>
      <c r="W29" s="140"/>
      <c r="X29" s="140"/>
      <c r="Y29" s="140"/>
      <c r="Z29" s="140"/>
      <c r="AA29" s="140"/>
      <c r="AB29" s="140"/>
      <c r="AC29" s="140"/>
      <c r="AD29" s="140"/>
      <c r="AE29" s="140" t="s">
        <v>130</v>
      </c>
      <c r="AF29" s="140">
        <v>0</v>
      </c>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x14ac:dyDescent="0.25">
      <c r="A30" s="141">
        <v>8</v>
      </c>
      <c r="B30" s="141" t="s">
        <v>156</v>
      </c>
      <c r="C30" s="178" t="s">
        <v>157</v>
      </c>
      <c r="D30" s="147" t="s">
        <v>139</v>
      </c>
      <c r="E30" s="154">
        <v>42.76</v>
      </c>
      <c r="F30" s="157"/>
      <c r="G30" s="158">
        <f>ROUND(E30*F30,2)</f>
        <v>0</v>
      </c>
      <c r="H30" s="158"/>
      <c r="I30" s="158">
        <f>ROUND(E30*H30,2)</f>
        <v>0</v>
      </c>
      <c r="J30" s="158"/>
      <c r="K30" s="158">
        <f>ROUND(E30*J30,2)</f>
        <v>0</v>
      </c>
      <c r="L30" s="158">
        <v>21</v>
      </c>
      <c r="M30" s="158">
        <f>G30*(1+L30/100)</f>
        <v>0</v>
      </c>
      <c r="N30" s="148">
        <v>6.9499999999999996E-3</v>
      </c>
      <c r="O30" s="148">
        <f>ROUND(E30*N30,5)</f>
        <v>0.29718</v>
      </c>
      <c r="P30" s="148">
        <v>0</v>
      </c>
      <c r="Q30" s="148">
        <f>ROUND(E30*P30,5)</f>
        <v>0</v>
      </c>
      <c r="R30" s="148"/>
      <c r="S30" s="148"/>
      <c r="T30" s="149">
        <v>0.34399999999999997</v>
      </c>
      <c r="U30" s="148">
        <f>ROUND(E30*T30,2)</f>
        <v>14.71</v>
      </c>
      <c r="V30" s="140"/>
      <c r="W30" s="140"/>
      <c r="X30" s="140"/>
      <c r="Y30" s="140"/>
      <c r="Z30" s="140"/>
      <c r="AA30" s="140"/>
      <c r="AB30" s="140"/>
      <c r="AC30" s="140"/>
      <c r="AD30" s="140"/>
      <c r="AE30" s="140" t="s">
        <v>128</v>
      </c>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x14ac:dyDescent="0.25">
      <c r="A31" s="141"/>
      <c r="B31" s="141"/>
      <c r="C31" s="179" t="s">
        <v>158</v>
      </c>
      <c r="D31" s="150"/>
      <c r="E31" s="155">
        <v>39.85</v>
      </c>
      <c r="F31" s="158"/>
      <c r="G31" s="158"/>
      <c r="H31" s="158"/>
      <c r="I31" s="158"/>
      <c r="J31" s="158"/>
      <c r="K31" s="158"/>
      <c r="L31" s="158"/>
      <c r="M31" s="158"/>
      <c r="N31" s="148"/>
      <c r="O31" s="148"/>
      <c r="P31" s="148"/>
      <c r="Q31" s="148"/>
      <c r="R31" s="148"/>
      <c r="S31" s="148"/>
      <c r="T31" s="149"/>
      <c r="U31" s="148"/>
      <c r="V31" s="140"/>
      <c r="W31" s="140"/>
      <c r="X31" s="140"/>
      <c r="Y31" s="140"/>
      <c r="Z31" s="140"/>
      <c r="AA31" s="140"/>
      <c r="AB31" s="140"/>
      <c r="AC31" s="140"/>
      <c r="AD31" s="140"/>
      <c r="AE31" s="140" t="s">
        <v>130</v>
      </c>
      <c r="AF31" s="140">
        <v>0</v>
      </c>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x14ac:dyDescent="0.25">
      <c r="A32" s="141"/>
      <c r="B32" s="141"/>
      <c r="C32" s="179" t="s">
        <v>159</v>
      </c>
      <c r="D32" s="150"/>
      <c r="E32" s="155">
        <v>2.91</v>
      </c>
      <c r="F32" s="158"/>
      <c r="G32" s="158"/>
      <c r="H32" s="158"/>
      <c r="I32" s="158"/>
      <c r="J32" s="158"/>
      <c r="K32" s="158"/>
      <c r="L32" s="158"/>
      <c r="M32" s="158"/>
      <c r="N32" s="148"/>
      <c r="O32" s="148"/>
      <c r="P32" s="148"/>
      <c r="Q32" s="148"/>
      <c r="R32" s="148"/>
      <c r="S32" s="148"/>
      <c r="T32" s="149"/>
      <c r="U32" s="148"/>
      <c r="V32" s="140"/>
      <c r="W32" s="140"/>
      <c r="X32" s="140"/>
      <c r="Y32" s="140"/>
      <c r="Z32" s="140"/>
      <c r="AA32" s="140"/>
      <c r="AB32" s="140"/>
      <c r="AC32" s="140"/>
      <c r="AD32" s="140"/>
      <c r="AE32" s="140" t="s">
        <v>130</v>
      </c>
      <c r="AF32" s="140">
        <v>0</v>
      </c>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x14ac:dyDescent="0.25">
      <c r="A33" s="141">
        <v>9</v>
      </c>
      <c r="B33" s="141" t="s">
        <v>160</v>
      </c>
      <c r="C33" s="178" t="s">
        <v>161</v>
      </c>
      <c r="D33" s="147" t="s">
        <v>139</v>
      </c>
      <c r="E33" s="154">
        <v>42.185000000000002</v>
      </c>
      <c r="F33" s="157"/>
      <c r="G33" s="158">
        <f>ROUND(E33*F33,2)</f>
        <v>0</v>
      </c>
      <c r="H33" s="158"/>
      <c r="I33" s="158">
        <f>ROUND(E33*H33,2)</f>
        <v>0</v>
      </c>
      <c r="J33" s="158"/>
      <c r="K33" s="158">
        <f>ROUND(E33*J33,2)</f>
        <v>0</v>
      </c>
      <c r="L33" s="158">
        <v>21</v>
      </c>
      <c r="M33" s="158">
        <f>G33*(1+L33/100)</f>
        <v>0</v>
      </c>
      <c r="N33" s="148">
        <v>2.5999999999999998E-4</v>
      </c>
      <c r="O33" s="148">
        <f>ROUND(E33*N33,5)</f>
        <v>1.0970000000000001E-2</v>
      </c>
      <c r="P33" s="148">
        <v>0</v>
      </c>
      <c r="Q33" s="148">
        <f>ROUND(E33*P33,5)</f>
        <v>0</v>
      </c>
      <c r="R33" s="148"/>
      <c r="S33" s="148"/>
      <c r="T33" s="149">
        <v>0.09</v>
      </c>
      <c r="U33" s="148">
        <f>ROUND(E33*T33,2)</f>
        <v>3.8</v>
      </c>
      <c r="V33" s="140"/>
      <c r="W33" s="140"/>
      <c r="X33" s="140"/>
      <c r="Y33" s="140"/>
      <c r="Z33" s="140"/>
      <c r="AA33" s="140"/>
      <c r="AB33" s="140"/>
      <c r="AC33" s="140"/>
      <c r="AD33" s="140"/>
      <c r="AE33" s="140" t="s">
        <v>128</v>
      </c>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x14ac:dyDescent="0.25">
      <c r="A34" s="141"/>
      <c r="B34" s="141"/>
      <c r="C34" s="179" t="s">
        <v>162</v>
      </c>
      <c r="D34" s="150"/>
      <c r="E34" s="155">
        <v>19.925000000000001</v>
      </c>
      <c r="F34" s="158"/>
      <c r="G34" s="158"/>
      <c r="H34" s="158"/>
      <c r="I34" s="158"/>
      <c r="J34" s="158"/>
      <c r="K34" s="158"/>
      <c r="L34" s="158"/>
      <c r="M34" s="158"/>
      <c r="N34" s="148"/>
      <c r="O34" s="148"/>
      <c r="P34" s="148"/>
      <c r="Q34" s="148"/>
      <c r="R34" s="148"/>
      <c r="S34" s="148"/>
      <c r="T34" s="149"/>
      <c r="U34" s="148"/>
      <c r="V34" s="140"/>
      <c r="W34" s="140"/>
      <c r="X34" s="140"/>
      <c r="Y34" s="140"/>
      <c r="Z34" s="140"/>
      <c r="AA34" s="140"/>
      <c r="AB34" s="140"/>
      <c r="AC34" s="140"/>
      <c r="AD34" s="140"/>
      <c r="AE34" s="140" t="s">
        <v>130</v>
      </c>
      <c r="AF34" s="140">
        <v>0</v>
      </c>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1" x14ac:dyDescent="0.25">
      <c r="A35" s="141"/>
      <c r="B35" s="141"/>
      <c r="C35" s="179" t="s">
        <v>163</v>
      </c>
      <c r="D35" s="150"/>
      <c r="E35" s="155">
        <v>22.26</v>
      </c>
      <c r="F35" s="158"/>
      <c r="G35" s="158"/>
      <c r="H35" s="158"/>
      <c r="I35" s="158"/>
      <c r="J35" s="158"/>
      <c r="K35" s="158"/>
      <c r="L35" s="158"/>
      <c r="M35" s="158"/>
      <c r="N35" s="148"/>
      <c r="O35" s="148"/>
      <c r="P35" s="148"/>
      <c r="Q35" s="148"/>
      <c r="R35" s="148"/>
      <c r="S35" s="148"/>
      <c r="T35" s="149"/>
      <c r="U35" s="148"/>
      <c r="V35" s="140"/>
      <c r="W35" s="140"/>
      <c r="X35" s="140"/>
      <c r="Y35" s="140"/>
      <c r="Z35" s="140"/>
      <c r="AA35" s="140"/>
      <c r="AB35" s="140"/>
      <c r="AC35" s="140"/>
      <c r="AD35" s="140"/>
      <c r="AE35" s="140" t="s">
        <v>130</v>
      </c>
      <c r="AF35" s="140">
        <v>0</v>
      </c>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0" outlineLevel="1" x14ac:dyDescent="0.25">
      <c r="A36" s="141">
        <v>10</v>
      </c>
      <c r="B36" s="141" t="s">
        <v>164</v>
      </c>
      <c r="C36" s="178" t="s">
        <v>165</v>
      </c>
      <c r="D36" s="147" t="s">
        <v>139</v>
      </c>
      <c r="E36" s="154">
        <v>42.185000000000002</v>
      </c>
      <c r="F36" s="157"/>
      <c r="G36" s="158">
        <f>ROUND(E36*F36,2)</f>
        <v>0</v>
      </c>
      <c r="H36" s="158"/>
      <c r="I36" s="158">
        <f>ROUND(E36*H36,2)</f>
        <v>0</v>
      </c>
      <c r="J36" s="158"/>
      <c r="K36" s="158">
        <f>ROUND(E36*J36,2)</f>
        <v>0</v>
      </c>
      <c r="L36" s="158">
        <v>21</v>
      </c>
      <c r="M36" s="158">
        <f>G36*(1+L36/100)</f>
        <v>0</v>
      </c>
      <c r="N36" s="148">
        <v>9.5000000000000001E-2</v>
      </c>
      <c r="O36" s="148">
        <f>ROUND(E36*N36,5)</f>
        <v>4.0075799999999999</v>
      </c>
      <c r="P36" s="148">
        <v>0</v>
      </c>
      <c r="Q36" s="148">
        <f>ROUND(E36*P36,5)</f>
        <v>0</v>
      </c>
      <c r="R36" s="148"/>
      <c r="S36" s="148"/>
      <c r="T36" s="149">
        <v>0.47</v>
      </c>
      <c r="U36" s="148">
        <f>ROUND(E36*T36,2)</f>
        <v>19.829999999999998</v>
      </c>
      <c r="V36" s="140"/>
      <c r="W36" s="140"/>
      <c r="X36" s="140"/>
      <c r="Y36" s="140"/>
      <c r="Z36" s="140"/>
      <c r="AA36" s="140"/>
      <c r="AB36" s="140"/>
      <c r="AC36" s="140"/>
      <c r="AD36" s="140"/>
      <c r="AE36" s="140" t="s">
        <v>128</v>
      </c>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x14ac:dyDescent="0.25">
      <c r="A37" s="141"/>
      <c r="B37" s="141"/>
      <c r="C37" s="179" t="s">
        <v>162</v>
      </c>
      <c r="D37" s="150"/>
      <c r="E37" s="155">
        <v>19.925000000000001</v>
      </c>
      <c r="F37" s="158"/>
      <c r="G37" s="158"/>
      <c r="H37" s="158"/>
      <c r="I37" s="158"/>
      <c r="J37" s="158"/>
      <c r="K37" s="158"/>
      <c r="L37" s="158"/>
      <c r="M37" s="158"/>
      <c r="N37" s="148"/>
      <c r="O37" s="148"/>
      <c r="P37" s="148"/>
      <c r="Q37" s="148"/>
      <c r="R37" s="148"/>
      <c r="S37" s="148"/>
      <c r="T37" s="149"/>
      <c r="U37" s="148"/>
      <c r="V37" s="140"/>
      <c r="W37" s="140"/>
      <c r="X37" s="140"/>
      <c r="Y37" s="140"/>
      <c r="Z37" s="140"/>
      <c r="AA37" s="140"/>
      <c r="AB37" s="140"/>
      <c r="AC37" s="140"/>
      <c r="AD37" s="140"/>
      <c r="AE37" s="140" t="s">
        <v>130</v>
      </c>
      <c r="AF37" s="140">
        <v>0</v>
      </c>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x14ac:dyDescent="0.25">
      <c r="A38" s="141"/>
      <c r="B38" s="141"/>
      <c r="C38" s="179" t="s">
        <v>163</v>
      </c>
      <c r="D38" s="150"/>
      <c r="E38" s="155">
        <v>22.26</v>
      </c>
      <c r="F38" s="158"/>
      <c r="G38" s="158"/>
      <c r="H38" s="158"/>
      <c r="I38" s="158"/>
      <c r="J38" s="158"/>
      <c r="K38" s="158"/>
      <c r="L38" s="158"/>
      <c r="M38" s="158"/>
      <c r="N38" s="148"/>
      <c r="O38" s="148"/>
      <c r="P38" s="148"/>
      <c r="Q38" s="148"/>
      <c r="R38" s="148"/>
      <c r="S38" s="148"/>
      <c r="T38" s="149"/>
      <c r="U38" s="148"/>
      <c r="V38" s="140"/>
      <c r="W38" s="140"/>
      <c r="X38" s="140"/>
      <c r="Y38" s="140"/>
      <c r="Z38" s="140"/>
      <c r="AA38" s="140"/>
      <c r="AB38" s="140"/>
      <c r="AC38" s="140"/>
      <c r="AD38" s="140"/>
      <c r="AE38" s="140" t="s">
        <v>130</v>
      </c>
      <c r="AF38" s="140">
        <v>0</v>
      </c>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x14ac:dyDescent="0.25">
      <c r="A39" s="142" t="s">
        <v>123</v>
      </c>
      <c r="B39" s="142" t="s">
        <v>58</v>
      </c>
      <c r="C39" s="180" t="s">
        <v>59</v>
      </c>
      <c r="D39" s="151"/>
      <c r="E39" s="156"/>
      <c r="F39" s="159"/>
      <c r="G39" s="159">
        <f>SUMIF(AE40:AE74,"&lt;&gt;NOR",G40:G74)</f>
        <v>0</v>
      </c>
      <c r="H39" s="159"/>
      <c r="I39" s="159">
        <f>SUM(I40:I74)</f>
        <v>0</v>
      </c>
      <c r="J39" s="159"/>
      <c r="K39" s="159">
        <f>SUM(K40:K74)</f>
        <v>0</v>
      </c>
      <c r="L39" s="159"/>
      <c r="M39" s="159">
        <f>SUM(M40:M74)</f>
        <v>0</v>
      </c>
      <c r="N39" s="152"/>
      <c r="O39" s="152">
        <f>SUM(O40:O74)</f>
        <v>4.8163600000000004</v>
      </c>
      <c r="P39" s="152"/>
      <c r="Q39" s="152">
        <f>SUM(Q40:Q74)</f>
        <v>2.6056300000000001</v>
      </c>
      <c r="R39" s="152"/>
      <c r="S39" s="152"/>
      <c r="T39" s="153"/>
      <c r="U39" s="152">
        <f>SUM(U40:U74)</f>
        <v>103.67</v>
      </c>
      <c r="AE39" t="s">
        <v>124</v>
      </c>
    </row>
    <row r="40" spans="1:60" outlineLevel="1" x14ac:dyDescent="0.25">
      <c r="A40" s="141">
        <v>11</v>
      </c>
      <c r="B40" s="141" t="s">
        <v>166</v>
      </c>
      <c r="C40" s="178" t="s">
        <v>167</v>
      </c>
      <c r="D40" s="147" t="s">
        <v>136</v>
      </c>
      <c r="E40" s="154">
        <v>1</v>
      </c>
      <c r="F40" s="157"/>
      <c r="G40" s="158">
        <f>ROUND(E40*F40,2)</f>
        <v>0</v>
      </c>
      <c r="H40" s="158"/>
      <c r="I40" s="158">
        <f>ROUND(E40*H40,2)</f>
        <v>0</v>
      </c>
      <c r="J40" s="158"/>
      <c r="K40" s="158">
        <f>ROUND(E40*J40,2)</f>
        <v>0</v>
      </c>
      <c r="L40" s="158">
        <v>21</v>
      </c>
      <c r="M40" s="158">
        <f>G40*(1+L40/100)</f>
        <v>0</v>
      </c>
      <c r="N40" s="148">
        <v>0.25736999999999999</v>
      </c>
      <c r="O40" s="148">
        <f>ROUND(E40*N40,5)</f>
        <v>0.25736999999999999</v>
      </c>
      <c r="P40" s="148">
        <v>0.24479999999999999</v>
      </c>
      <c r="Q40" s="148">
        <f>ROUND(E40*P40,5)</f>
        <v>0.24479999999999999</v>
      </c>
      <c r="R40" s="148"/>
      <c r="S40" s="148"/>
      <c r="T40" s="149">
        <v>10.35568</v>
      </c>
      <c r="U40" s="148">
        <f>ROUND(E40*T40,2)</f>
        <v>10.36</v>
      </c>
      <c r="V40" s="140"/>
      <c r="W40" s="140"/>
      <c r="X40" s="140"/>
      <c r="Y40" s="140"/>
      <c r="Z40" s="140"/>
      <c r="AA40" s="140"/>
      <c r="AB40" s="140"/>
      <c r="AC40" s="140"/>
      <c r="AD40" s="140"/>
      <c r="AE40" s="140" t="s">
        <v>133</v>
      </c>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x14ac:dyDescent="0.25">
      <c r="A41" s="141"/>
      <c r="B41" s="141"/>
      <c r="C41" s="179" t="s">
        <v>168</v>
      </c>
      <c r="D41" s="150"/>
      <c r="E41" s="155">
        <v>1</v>
      </c>
      <c r="F41" s="158"/>
      <c r="G41" s="158"/>
      <c r="H41" s="158"/>
      <c r="I41" s="158"/>
      <c r="J41" s="158"/>
      <c r="K41" s="158"/>
      <c r="L41" s="158"/>
      <c r="M41" s="158"/>
      <c r="N41" s="148"/>
      <c r="O41" s="148"/>
      <c r="P41" s="148"/>
      <c r="Q41" s="148"/>
      <c r="R41" s="148"/>
      <c r="S41" s="148"/>
      <c r="T41" s="149"/>
      <c r="U41" s="148"/>
      <c r="V41" s="140"/>
      <c r="W41" s="140"/>
      <c r="X41" s="140"/>
      <c r="Y41" s="140"/>
      <c r="Z41" s="140"/>
      <c r="AA41" s="140"/>
      <c r="AB41" s="140"/>
      <c r="AC41" s="140"/>
      <c r="AD41" s="140"/>
      <c r="AE41" s="140" t="s">
        <v>130</v>
      </c>
      <c r="AF41" s="140">
        <v>0</v>
      </c>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20" outlineLevel="1" x14ac:dyDescent="0.25">
      <c r="A42" s="141">
        <v>12</v>
      </c>
      <c r="B42" s="141" t="s">
        <v>169</v>
      </c>
      <c r="C42" s="178" t="s">
        <v>170</v>
      </c>
      <c r="D42" s="147" t="s">
        <v>136</v>
      </c>
      <c r="E42" s="154">
        <v>1</v>
      </c>
      <c r="F42" s="157"/>
      <c r="G42" s="158">
        <f>ROUND(E42*F42,2)</f>
        <v>0</v>
      </c>
      <c r="H42" s="158"/>
      <c r="I42" s="158">
        <f>ROUND(E42*H42,2)</f>
        <v>0</v>
      </c>
      <c r="J42" s="158"/>
      <c r="K42" s="158">
        <f>ROUND(E42*J42,2)</f>
        <v>0</v>
      </c>
      <c r="L42" s="158">
        <v>21</v>
      </c>
      <c r="M42" s="158">
        <f>G42*(1+L42/100)</f>
        <v>0</v>
      </c>
      <c r="N42" s="148">
        <v>0.13558000000000001</v>
      </c>
      <c r="O42" s="148">
        <f>ROUND(E42*N42,5)</f>
        <v>0.13558000000000001</v>
      </c>
      <c r="P42" s="148">
        <v>0.20322999999999999</v>
      </c>
      <c r="Q42" s="148">
        <f>ROUND(E42*P42,5)</f>
        <v>0.20322999999999999</v>
      </c>
      <c r="R42" s="148"/>
      <c r="S42" s="148"/>
      <c r="T42" s="149">
        <v>10.34572</v>
      </c>
      <c r="U42" s="148">
        <f>ROUND(E42*T42,2)</f>
        <v>10.35</v>
      </c>
      <c r="V42" s="140"/>
      <c r="W42" s="140"/>
      <c r="X42" s="140"/>
      <c r="Y42" s="140"/>
      <c r="Z42" s="140"/>
      <c r="AA42" s="140"/>
      <c r="AB42" s="140"/>
      <c r="AC42" s="140"/>
      <c r="AD42" s="140"/>
      <c r="AE42" s="140" t="s">
        <v>133</v>
      </c>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x14ac:dyDescent="0.25">
      <c r="A43" s="141"/>
      <c r="B43" s="141"/>
      <c r="C43" s="179" t="s">
        <v>171</v>
      </c>
      <c r="D43" s="150"/>
      <c r="E43" s="155">
        <v>1</v>
      </c>
      <c r="F43" s="158"/>
      <c r="G43" s="158"/>
      <c r="H43" s="158"/>
      <c r="I43" s="158"/>
      <c r="J43" s="158"/>
      <c r="K43" s="158"/>
      <c r="L43" s="158"/>
      <c r="M43" s="158"/>
      <c r="N43" s="148"/>
      <c r="O43" s="148"/>
      <c r="P43" s="148"/>
      <c r="Q43" s="148"/>
      <c r="R43" s="148"/>
      <c r="S43" s="148"/>
      <c r="T43" s="149"/>
      <c r="U43" s="148"/>
      <c r="V43" s="140"/>
      <c r="W43" s="140"/>
      <c r="X43" s="140"/>
      <c r="Y43" s="140"/>
      <c r="Z43" s="140"/>
      <c r="AA43" s="140"/>
      <c r="AB43" s="140"/>
      <c r="AC43" s="140"/>
      <c r="AD43" s="140"/>
      <c r="AE43" s="140" t="s">
        <v>130</v>
      </c>
      <c r="AF43" s="140">
        <v>0</v>
      </c>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0" outlineLevel="1" x14ac:dyDescent="0.25">
      <c r="A44" s="141">
        <v>13</v>
      </c>
      <c r="B44" s="141" t="s">
        <v>172</v>
      </c>
      <c r="C44" s="178" t="s">
        <v>173</v>
      </c>
      <c r="D44" s="147" t="s">
        <v>136</v>
      </c>
      <c r="E44" s="154">
        <v>1</v>
      </c>
      <c r="F44" s="157"/>
      <c r="G44" s="158">
        <f>ROUND(E44*F44,2)</f>
        <v>0</v>
      </c>
      <c r="H44" s="158"/>
      <c r="I44" s="158">
        <f>ROUND(E44*H44,2)</f>
        <v>0</v>
      </c>
      <c r="J44" s="158"/>
      <c r="K44" s="158">
        <f>ROUND(E44*J44,2)</f>
        <v>0</v>
      </c>
      <c r="L44" s="158">
        <v>21</v>
      </c>
      <c r="M44" s="158">
        <f>G44*(1+L44/100)</f>
        <v>0</v>
      </c>
      <c r="N44" s="148">
        <v>0.55500000000000005</v>
      </c>
      <c r="O44" s="148">
        <f>ROUND(E44*N44,5)</f>
        <v>0.55500000000000005</v>
      </c>
      <c r="P44" s="148">
        <v>0.20280000000000001</v>
      </c>
      <c r="Q44" s="148">
        <f>ROUND(E44*P44,5)</f>
        <v>0.20280000000000001</v>
      </c>
      <c r="R44" s="148"/>
      <c r="S44" s="148"/>
      <c r="T44" s="149">
        <v>12.191229999999999</v>
      </c>
      <c r="U44" s="148">
        <f>ROUND(E44*T44,2)</f>
        <v>12.19</v>
      </c>
      <c r="V44" s="140"/>
      <c r="W44" s="140"/>
      <c r="X44" s="140"/>
      <c r="Y44" s="140"/>
      <c r="Z44" s="140"/>
      <c r="AA44" s="140"/>
      <c r="AB44" s="140"/>
      <c r="AC44" s="140"/>
      <c r="AD44" s="140"/>
      <c r="AE44" s="140" t="s">
        <v>133</v>
      </c>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x14ac:dyDescent="0.25">
      <c r="A45" s="141"/>
      <c r="B45" s="141"/>
      <c r="C45" s="179" t="s">
        <v>174</v>
      </c>
      <c r="D45" s="150"/>
      <c r="E45" s="155">
        <v>1</v>
      </c>
      <c r="F45" s="158"/>
      <c r="G45" s="158"/>
      <c r="H45" s="158"/>
      <c r="I45" s="158"/>
      <c r="J45" s="158"/>
      <c r="K45" s="158"/>
      <c r="L45" s="158"/>
      <c r="M45" s="158"/>
      <c r="N45" s="148"/>
      <c r="O45" s="148"/>
      <c r="P45" s="148"/>
      <c r="Q45" s="148"/>
      <c r="R45" s="148"/>
      <c r="S45" s="148"/>
      <c r="T45" s="149"/>
      <c r="U45" s="148"/>
      <c r="V45" s="140"/>
      <c r="W45" s="140"/>
      <c r="X45" s="140"/>
      <c r="Y45" s="140"/>
      <c r="Z45" s="140"/>
      <c r="AA45" s="140"/>
      <c r="AB45" s="140"/>
      <c r="AC45" s="140"/>
      <c r="AD45" s="140"/>
      <c r="AE45" s="140" t="s">
        <v>130</v>
      </c>
      <c r="AF45" s="140">
        <v>0</v>
      </c>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1" x14ac:dyDescent="0.25">
      <c r="A46" s="141">
        <v>14</v>
      </c>
      <c r="B46" s="141" t="s">
        <v>175</v>
      </c>
      <c r="C46" s="178" t="s">
        <v>176</v>
      </c>
      <c r="D46" s="147" t="s">
        <v>136</v>
      </c>
      <c r="E46" s="154">
        <v>2</v>
      </c>
      <c r="F46" s="157"/>
      <c r="G46" s="158">
        <f>ROUND(E46*F46,2)</f>
        <v>0</v>
      </c>
      <c r="H46" s="158"/>
      <c r="I46" s="158">
        <f>ROUND(E46*H46,2)</f>
        <v>0</v>
      </c>
      <c r="J46" s="158"/>
      <c r="K46" s="158">
        <f>ROUND(E46*J46,2)</f>
        <v>0</v>
      </c>
      <c r="L46" s="158">
        <v>21</v>
      </c>
      <c r="M46" s="158">
        <f>G46*(1+L46/100)</f>
        <v>0</v>
      </c>
      <c r="N46" s="148">
        <v>0.69364999999999999</v>
      </c>
      <c r="O46" s="148">
        <f>ROUND(E46*N46,5)</f>
        <v>1.3873</v>
      </c>
      <c r="P46" s="148">
        <v>0.1368</v>
      </c>
      <c r="Q46" s="148">
        <f>ROUND(E46*P46,5)</f>
        <v>0.27360000000000001</v>
      </c>
      <c r="R46" s="148"/>
      <c r="S46" s="148"/>
      <c r="T46" s="149">
        <v>8.7069299999999998</v>
      </c>
      <c r="U46" s="148">
        <f>ROUND(E46*T46,2)</f>
        <v>17.41</v>
      </c>
      <c r="V46" s="140"/>
      <c r="W46" s="140"/>
      <c r="X46" s="140"/>
      <c r="Y46" s="140"/>
      <c r="Z46" s="140"/>
      <c r="AA46" s="140"/>
      <c r="AB46" s="140"/>
      <c r="AC46" s="140"/>
      <c r="AD46" s="140"/>
      <c r="AE46" s="140" t="s">
        <v>133</v>
      </c>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x14ac:dyDescent="0.25">
      <c r="A47" s="141"/>
      <c r="B47" s="141"/>
      <c r="C47" s="179" t="s">
        <v>177</v>
      </c>
      <c r="D47" s="150"/>
      <c r="E47" s="155">
        <v>2</v>
      </c>
      <c r="F47" s="158"/>
      <c r="G47" s="158"/>
      <c r="H47" s="158"/>
      <c r="I47" s="158"/>
      <c r="J47" s="158"/>
      <c r="K47" s="158"/>
      <c r="L47" s="158"/>
      <c r="M47" s="158"/>
      <c r="N47" s="148"/>
      <c r="O47" s="148"/>
      <c r="P47" s="148"/>
      <c r="Q47" s="148"/>
      <c r="R47" s="148"/>
      <c r="S47" s="148"/>
      <c r="T47" s="149"/>
      <c r="U47" s="148"/>
      <c r="V47" s="140"/>
      <c r="W47" s="140"/>
      <c r="X47" s="140"/>
      <c r="Y47" s="140"/>
      <c r="Z47" s="140"/>
      <c r="AA47" s="140"/>
      <c r="AB47" s="140"/>
      <c r="AC47" s="140"/>
      <c r="AD47" s="140"/>
      <c r="AE47" s="140" t="s">
        <v>130</v>
      </c>
      <c r="AF47" s="140">
        <v>0</v>
      </c>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x14ac:dyDescent="0.25">
      <c r="A48" s="141">
        <v>15</v>
      </c>
      <c r="B48" s="141" t="s">
        <v>178</v>
      </c>
      <c r="C48" s="178" t="s">
        <v>179</v>
      </c>
      <c r="D48" s="147" t="s">
        <v>136</v>
      </c>
      <c r="E48" s="154">
        <v>1</v>
      </c>
      <c r="F48" s="157"/>
      <c r="G48" s="158">
        <f>ROUND(E48*F48,2)</f>
        <v>0</v>
      </c>
      <c r="H48" s="158"/>
      <c r="I48" s="158">
        <f>ROUND(E48*H48,2)</f>
        <v>0</v>
      </c>
      <c r="J48" s="158"/>
      <c r="K48" s="158">
        <f>ROUND(E48*J48,2)</f>
        <v>0</v>
      </c>
      <c r="L48" s="158">
        <v>21</v>
      </c>
      <c r="M48" s="158">
        <f>G48*(1+L48/100)</f>
        <v>0</v>
      </c>
      <c r="N48" s="148">
        <v>1.19872</v>
      </c>
      <c r="O48" s="148">
        <f>ROUND(E48*N48,5)</f>
        <v>1.19872</v>
      </c>
      <c r="P48" s="148">
        <v>0.2016</v>
      </c>
      <c r="Q48" s="148">
        <f>ROUND(E48*P48,5)</f>
        <v>0.2016</v>
      </c>
      <c r="R48" s="148"/>
      <c r="S48" s="148"/>
      <c r="T48" s="149">
        <v>13.98095</v>
      </c>
      <c r="U48" s="148">
        <f>ROUND(E48*T48,2)</f>
        <v>13.98</v>
      </c>
      <c r="V48" s="140"/>
      <c r="W48" s="140"/>
      <c r="X48" s="140"/>
      <c r="Y48" s="140"/>
      <c r="Z48" s="140"/>
      <c r="AA48" s="140"/>
      <c r="AB48" s="140"/>
      <c r="AC48" s="140"/>
      <c r="AD48" s="140"/>
      <c r="AE48" s="140" t="s">
        <v>133</v>
      </c>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x14ac:dyDescent="0.25">
      <c r="A49" s="141"/>
      <c r="B49" s="141"/>
      <c r="C49" s="179" t="s">
        <v>52</v>
      </c>
      <c r="D49" s="150"/>
      <c r="E49" s="155">
        <v>1</v>
      </c>
      <c r="F49" s="158"/>
      <c r="G49" s="158"/>
      <c r="H49" s="158"/>
      <c r="I49" s="158"/>
      <c r="J49" s="158"/>
      <c r="K49" s="158"/>
      <c r="L49" s="158"/>
      <c r="M49" s="158"/>
      <c r="N49" s="148"/>
      <c r="O49" s="148"/>
      <c r="P49" s="148"/>
      <c r="Q49" s="148"/>
      <c r="R49" s="148"/>
      <c r="S49" s="148"/>
      <c r="T49" s="149"/>
      <c r="U49" s="148"/>
      <c r="V49" s="140"/>
      <c r="W49" s="140"/>
      <c r="X49" s="140"/>
      <c r="Y49" s="140"/>
      <c r="Z49" s="140"/>
      <c r="AA49" s="140"/>
      <c r="AB49" s="140"/>
      <c r="AC49" s="140"/>
      <c r="AD49" s="140"/>
      <c r="AE49" s="140" t="s">
        <v>130</v>
      </c>
      <c r="AF49" s="140">
        <v>0</v>
      </c>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0" outlineLevel="1" x14ac:dyDescent="0.25">
      <c r="A50" s="141">
        <v>16</v>
      </c>
      <c r="B50" s="141" t="s">
        <v>180</v>
      </c>
      <c r="C50" s="178" t="s">
        <v>181</v>
      </c>
      <c r="D50" s="147" t="s">
        <v>136</v>
      </c>
      <c r="E50" s="154">
        <v>3</v>
      </c>
      <c r="F50" s="157"/>
      <c r="G50" s="158">
        <f>ROUND(E50*F50,2)</f>
        <v>0</v>
      </c>
      <c r="H50" s="158"/>
      <c r="I50" s="158">
        <f>ROUND(E50*H50,2)</f>
        <v>0</v>
      </c>
      <c r="J50" s="158"/>
      <c r="K50" s="158">
        <f>ROUND(E50*J50,2)</f>
        <v>0</v>
      </c>
      <c r="L50" s="158">
        <v>21</v>
      </c>
      <c r="M50" s="158">
        <f>G50*(1+L50/100)</f>
        <v>0</v>
      </c>
      <c r="N50" s="148">
        <v>0.36982999999999999</v>
      </c>
      <c r="O50" s="148">
        <f>ROUND(E50*N50,5)</f>
        <v>1.1094900000000001</v>
      </c>
      <c r="P50" s="148">
        <v>0.49320000000000003</v>
      </c>
      <c r="Q50" s="148">
        <f>ROUND(E50*P50,5)</f>
        <v>1.4796</v>
      </c>
      <c r="R50" s="148"/>
      <c r="S50" s="148"/>
      <c r="T50" s="149">
        <v>10.32607</v>
      </c>
      <c r="U50" s="148">
        <f>ROUND(E50*T50,2)</f>
        <v>30.98</v>
      </c>
      <c r="V50" s="140"/>
      <c r="W50" s="140"/>
      <c r="X50" s="140"/>
      <c r="Y50" s="140"/>
      <c r="Z50" s="140"/>
      <c r="AA50" s="140"/>
      <c r="AB50" s="140"/>
      <c r="AC50" s="140"/>
      <c r="AD50" s="140"/>
      <c r="AE50" s="140" t="s">
        <v>133</v>
      </c>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x14ac:dyDescent="0.25">
      <c r="A51" s="141"/>
      <c r="B51" s="141"/>
      <c r="C51" s="179" t="s">
        <v>182</v>
      </c>
      <c r="D51" s="150"/>
      <c r="E51" s="155">
        <v>2</v>
      </c>
      <c r="F51" s="158"/>
      <c r="G51" s="158"/>
      <c r="H51" s="158"/>
      <c r="I51" s="158"/>
      <c r="J51" s="158"/>
      <c r="K51" s="158"/>
      <c r="L51" s="158"/>
      <c r="M51" s="158"/>
      <c r="N51" s="148"/>
      <c r="O51" s="148"/>
      <c r="P51" s="148"/>
      <c r="Q51" s="148"/>
      <c r="R51" s="148"/>
      <c r="S51" s="148"/>
      <c r="T51" s="149"/>
      <c r="U51" s="148"/>
      <c r="V51" s="140"/>
      <c r="W51" s="140"/>
      <c r="X51" s="140"/>
      <c r="Y51" s="140"/>
      <c r="Z51" s="140"/>
      <c r="AA51" s="140"/>
      <c r="AB51" s="140"/>
      <c r="AC51" s="140"/>
      <c r="AD51" s="140"/>
      <c r="AE51" s="140" t="s">
        <v>130</v>
      </c>
      <c r="AF51" s="140">
        <v>0</v>
      </c>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x14ac:dyDescent="0.25">
      <c r="A52" s="141"/>
      <c r="B52" s="141"/>
      <c r="C52" s="179" t="s">
        <v>183</v>
      </c>
      <c r="D52" s="150"/>
      <c r="E52" s="155">
        <v>1</v>
      </c>
      <c r="F52" s="158"/>
      <c r="G52" s="158"/>
      <c r="H52" s="158"/>
      <c r="I52" s="158"/>
      <c r="J52" s="158"/>
      <c r="K52" s="158"/>
      <c r="L52" s="158"/>
      <c r="M52" s="158"/>
      <c r="N52" s="148"/>
      <c r="O52" s="148"/>
      <c r="P52" s="148"/>
      <c r="Q52" s="148"/>
      <c r="R52" s="148"/>
      <c r="S52" s="148"/>
      <c r="T52" s="149"/>
      <c r="U52" s="148"/>
      <c r="V52" s="140"/>
      <c r="W52" s="140"/>
      <c r="X52" s="140"/>
      <c r="Y52" s="140"/>
      <c r="Z52" s="140"/>
      <c r="AA52" s="140"/>
      <c r="AB52" s="140"/>
      <c r="AC52" s="140"/>
      <c r="AD52" s="140"/>
      <c r="AE52" s="140" t="s">
        <v>130</v>
      </c>
      <c r="AF52" s="140">
        <v>0</v>
      </c>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ht="20" outlineLevel="1" x14ac:dyDescent="0.25">
      <c r="A53" s="141">
        <v>17</v>
      </c>
      <c r="B53" s="141" t="s">
        <v>184</v>
      </c>
      <c r="C53" s="178" t="s">
        <v>185</v>
      </c>
      <c r="D53" s="147" t="s">
        <v>136</v>
      </c>
      <c r="E53" s="154">
        <v>7</v>
      </c>
      <c r="F53" s="157"/>
      <c r="G53" s="158">
        <f>ROUND(E53*F53,2)</f>
        <v>0</v>
      </c>
      <c r="H53" s="158"/>
      <c r="I53" s="158">
        <f>ROUND(E53*H53,2)</f>
        <v>0</v>
      </c>
      <c r="J53" s="158"/>
      <c r="K53" s="158">
        <f>ROUND(E53*J53,2)</f>
        <v>0</v>
      </c>
      <c r="L53" s="158">
        <v>21</v>
      </c>
      <c r="M53" s="158">
        <f>G53*(1+L53/100)</f>
        <v>0</v>
      </c>
      <c r="N53" s="148">
        <v>2.47E-2</v>
      </c>
      <c r="O53" s="148">
        <f>ROUND(E53*N53,5)</f>
        <v>0.1729</v>
      </c>
      <c r="P53" s="148">
        <v>0</v>
      </c>
      <c r="Q53" s="148">
        <f>ROUND(E53*P53,5)</f>
        <v>0</v>
      </c>
      <c r="R53" s="148"/>
      <c r="S53" s="148"/>
      <c r="T53" s="149">
        <v>1.05</v>
      </c>
      <c r="U53" s="148">
        <f>ROUND(E53*T53,2)</f>
        <v>7.35</v>
      </c>
      <c r="V53" s="140"/>
      <c r="W53" s="140"/>
      <c r="X53" s="140"/>
      <c r="Y53" s="140"/>
      <c r="Z53" s="140"/>
      <c r="AA53" s="140"/>
      <c r="AB53" s="140"/>
      <c r="AC53" s="140"/>
      <c r="AD53" s="140"/>
      <c r="AE53" s="140" t="s">
        <v>128</v>
      </c>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x14ac:dyDescent="0.25">
      <c r="A54" s="141"/>
      <c r="B54" s="141"/>
      <c r="C54" s="179" t="s">
        <v>186</v>
      </c>
      <c r="D54" s="150"/>
      <c r="E54" s="155">
        <v>1</v>
      </c>
      <c r="F54" s="158"/>
      <c r="G54" s="158"/>
      <c r="H54" s="158"/>
      <c r="I54" s="158"/>
      <c r="J54" s="158"/>
      <c r="K54" s="158"/>
      <c r="L54" s="158"/>
      <c r="M54" s="158"/>
      <c r="N54" s="148"/>
      <c r="O54" s="148"/>
      <c r="P54" s="148"/>
      <c r="Q54" s="148"/>
      <c r="R54" s="148"/>
      <c r="S54" s="148"/>
      <c r="T54" s="149"/>
      <c r="U54" s="148"/>
      <c r="V54" s="140"/>
      <c r="W54" s="140"/>
      <c r="X54" s="140"/>
      <c r="Y54" s="140"/>
      <c r="Z54" s="140"/>
      <c r="AA54" s="140"/>
      <c r="AB54" s="140"/>
      <c r="AC54" s="140"/>
      <c r="AD54" s="140"/>
      <c r="AE54" s="140" t="s">
        <v>130</v>
      </c>
      <c r="AF54" s="140">
        <v>0</v>
      </c>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1" x14ac:dyDescent="0.25">
      <c r="A55" s="141"/>
      <c r="B55" s="141"/>
      <c r="C55" s="179" t="s">
        <v>187</v>
      </c>
      <c r="D55" s="150"/>
      <c r="E55" s="155">
        <v>1</v>
      </c>
      <c r="F55" s="158"/>
      <c r="G55" s="158"/>
      <c r="H55" s="158"/>
      <c r="I55" s="158"/>
      <c r="J55" s="158"/>
      <c r="K55" s="158"/>
      <c r="L55" s="158"/>
      <c r="M55" s="158"/>
      <c r="N55" s="148"/>
      <c r="O55" s="148"/>
      <c r="P55" s="148"/>
      <c r="Q55" s="148"/>
      <c r="R55" s="148"/>
      <c r="S55" s="148"/>
      <c r="T55" s="149"/>
      <c r="U55" s="148"/>
      <c r="V55" s="140"/>
      <c r="W55" s="140"/>
      <c r="X55" s="140"/>
      <c r="Y55" s="140"/>
      <c r="Z55" s="140"/>
      <c r="AA55" s="140"/>
      <c r="AB55" s="140"/>
      <c r="AC55" s="140"/>
      <c r="AD55" s="140"/>
      <c r="AE55" s="140" t="s">
        <v>130</v>
      </c>
      <c r="AF55" s="140">
        <v>0</v>
      </c>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1" x14ac:dyDescent="0.25">
      <c r="A56" s="141"/>
      <c r="B56" s="141"/>
      <c r="C56" s="179" t="s">
        <v>188</v>
      </c>
      <c r="D56" s="150"/>
      <c r="E56" s="155">
        <v>1</v>
      </c>
      <c r="F56" s="158"/>
      <c r="G56" s="158"/>
      <c r="H56" s="158"/>
      <c r="I56" s="158"/>
      <c r="J56" s="158"/>
      <c r="K56" s="158"/>
      <c r="L56" s="158"/>
      <c r="M56" s="158"/>
      <c r="N56" s="148"/>
      <c r="O56" s="148"/>
      <c r="P56" s="148"/>
      <c r="Q56" s="148"/>
      <c r="R56" s="148"/>
      <c r="S56" s="148"/>
      <c r="T56" s="149"/>
      <c r="U56" s="148"/>
      <c r="V56" s="140"/>
      <c r="W56" s="140"/>
      <c r="X56" s="140"/>
      <c r="Y56" s="140"/>
      <c r="Z56" s="140"/>
      <c r="AA56" s="140"/>
      <c r="AB56" s="140"/>
      <c r="AC56" s="140"/>
      <c r="AD56" s="140"/>
      <c r="AE56" s="140" t="s">
        <v>130</v>
      </c>
      <c r="AF56" s="140">
        <v>0</v>
      </c>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1" x14ac:dyDescent="0.25">
      <c r="A57" s="141"/>
      <c r="B57" s="141"/>
      <c r="C57" s="179" t="s">
        <v>189</v>
      </c>
      <c r="D57" s="150"/>
      <c r="E57" s="155">
        <v>1</v>
      </c>
      <c r="F57" s="158"/>
      <c r="G57" s="158"/>
      <c r="H57" s="158"/>
      <c r="I57" s="158"/>
      <c r="J57" s="158"/>
      <c r="K57" s="158"/>
      <c r="L57" s="158"/>
      <c r="M57" s="158"/>
      <c r="N57" s="148"/>
      <c r="O57" s="148"/>
      <c r="P57" s="148"/>
      <c r="Q57" s="148"/>
      <c r="R57" s="148"/>
      <c r="S57" s="148"/>
      <c r="T57" s="149"/>
      <c r="U57" s="148"/>
      <c r="V57" s="140"/>
      <c r="W57" s="140"/>
      <c r="X57" s="140"/>
      <c r="Y57" s="140"/>
      <c r="Z57" s="140"/>
      <c r="AA57" s="140"/>
      <c r="AB57" s="140"/>
      <c r="AC57" s="140"/>
      <c r="AD57" s="140"/>
      <c r="AE57" s="140" t="s">
        <v>130</v>
      </c>
      <c r="AF57" s="140">
        <v>0</v>
      </c>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x14ac:dyDescent="0.25">
      <c r="A58" s="141"/>
      <c r="B58" s="141"/>
      <c r="C58" s="179" t="s">
        <v>190</v>
      </c>
      <c r="D58" s="150"/>
      <c r="E58" s="155">
        <v>1</v>
      </c>
      <c r="F58" s="158"/>
      <c r="G58" s="158"/>
      <c r="H58" s="158"/>
      <c r="I58" s="158"/>
      <c r="J58" s="158"/>
      <c r="K58" s="158"/>
      <c r="L58" s="158"/>
      <c r="M58" s="158"/>
      <c r="N58" s="148"/>
      <c r="O58" s="148"/>
      <c r="P58" s="148"/>
      <c r="Q58" s="148"/>
      <c r="R58" s="148"/>
      <c r="S58" s="148"/>
      <c r="T58" s="149"/>
      <c r="U58" s="148"/>
      <c r="V58" s="140"/>
      <c r="W58" s="140"/>
      <c r="X58" s="140"/>
      <c r="Y58" s="140"/>
      <c r="Z58" s="140"/>
      <c r="AA58" s="140"/>
      <c r="AB58" s="140"/>
      <c r="AC58" s="140"/>
      <c r="AD58" s="140"/>
      <c r="AE58" s="140" t="s">
        <v>130</v>
      </c>
      <c r="AF58" s="140">
        <v>0</v>
      </c>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x14ac:dyDescent="0.25">
      <c r="A59" s="141"/>
      <c r="B59" s="141"/>
      <c r="C59" s="179" t="s">
        <v>191</v>
      </c>
      <c r="D59" s="150"/>
      <c r="E59" s="155">
        <v>2</v>
      </c>
      <c r="F59" s="158"/>
      <c r="G59" s="158"/>
      <c r="H59" s="158"/>
      <c r="I59" s="158"/>
      <c r="J59" s="158"/>
      <c r="K59" s="158"/>
      <c r="L59" s="158"/>
      <c r="M59" s="158"/>
      <c r="N59" s="148"/>
      <c r="O59" s="148"/>
      <c r="P59" s="148"/>
      <c r="Q59" s="148"/>
      <c r="R59" s="148"/>
      <c r="S59" s="148"/>
      <c r="T59" s="149"/>
      <c r="U59" s="148"/>
      <c r="V59" s="140"/>
      <c r="W59" s="140"/>
      <c r="X59" s="140"/>
      <c r="Y59" s="140"/>
      <c r="Z59" s="140"/>
      <c r="AA59" s="140"/>
      <c r="AB59" s="140"/>
      <c r="AC59" s="140"/>
      <c r="AD59" s="140"/>
      <c r="AE59" s="140" t="s">
        <v>130</v>
      </c>
      <c r="AF59" s="140">
        <v>0</v>
      </c>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1" x14ac:dyDescent="0.25">
      <c r="A60" s="141">
        <v>18</v>
      </c>
      <c r="B60" s="141" t="s">
        <v>192</v>
      </c>
      <c r="C60" s="178" t="s">
        <v>193</v>
      </c>
      <c r="D60" s="147" t="s">
        <v>136</v>
      </c>
      <c r="E60" s="154">
        <v>1</v>
      </c>
      <c r="F60" s="157"/>
      <c r="G60" s="158">
        <f>ROUND(E60*F60,2)</f>
        <v>0</v>
      </c>
      <c r="H60" s="158"/>
      <c r="I60" s="158">
        <f>ROUND(E60*H60,2)</f>
        <v>0</v>
      </c>
      <c r="J60" s="158"/>
      <c r="K60" s="158">
        <f>ROUND(E60*J60,2)</f>
        <v>0</v>
      </c>
      <c r="L60" s="158">
        <v>21</v>
      </c>
      <c r="M60" s="158">
        <f>G60*(1+L60/100)</f>
        <v>0</v>
      </c>
      <c r="N60" s="148">
        <v>0</v>
      </c>
      <c r="O60" s="148">
        <f>ROUND(E60*N60,5)</f>
        <v>0</v>
      </c>
      <c r="P60" s="148">
        <v>0</v>
      </c>
      <c r="Q60" s="148">
        <f>ROUND(E60*P60,5)</f>
        <v>0</v>
      </c>
      <c r="R60" s="148"/>
      <c r="S60" s="148"/>
      <c r="T60" s="149">
        <v>1.05</v>
      </c>
      <c r="U60" s="148">
        <f>ROUND(E60*T60,2)</f>
        <v>1.05</v>
      </c>
      <c r="V60" s="140"/>
      <c r="W60" s="140"/>
      <c r="X60" s="140"/>
      <c r="Y60" s="140"/>
      <c r="Z60" s="140"/>
      <c r="AA60" s="140"/>
      <c r="AB60" s="140"/>
      <c r="AC60" s="140"/>
      <c r="AD60" s="140"/>
      <c r="AE60" s="140" t="s">
        <v>128</v>
      </c>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1" x14ac:dyDescent="0.25">
      <c r="A61" s="141"/>
      <c r="B61" s="141"/>
      <c r="C61" s="179" t="s">
        <v>194</v>
      </c>
      <c r="D61" s="150"/>
      <c r="E61" s="155">
        <v>1</v>
      </c>
      <c r="F61" s="158"/>
      <c r="G61" s="158"/>
      <c r="H61" s="158"/>
      <c r="I61" s="158"/>
      <c r="J61" s="158"/>
      <c r="K61" s="158"/>
      <c r="L61" s="158"/>
      <c r="M61" s="158"/>
      <c r="N61" s="148"/>
      <c r="O61" s="148"/>
      <c r="P61" s="148"/>
      <c r="Q61" s="148"/>
      <c r="R61" s="148"/>
      <c r="S61" s="148"/>
      <c r="T61" s="149"/>
      <c r="U61" s="148"/>
      <c r="V61" s="140"/>
      <c r="W61" s="140"/>
      <c r="X61" s="140"/>
      <c r="Y61" s="140"/>
      <c r="Z61" s="140"/>
      <c r="AA61" s="140"/>
      <c r="AB61" s="140"/>
      <c r="AC61" s="140"/>
      <c r="AD61" s="140"/>
      <c r="AE61" s="140" t="s">
        <v>130</v>
      </c>
      <c r="AF61" s="140">
        <v>0</v>
      </c>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ht="20" outlineLevel="1" x14ac:dyDescent="0.25">
      <c r="A62" s="141">
        <v>19</v>
      </c>
      <c r="B62" s="141" t="s">
        <v>195</v>
      </c>
      <c r="C62" s="178" t="s">
        <v>196</v>
      </c>
      <c r="D62" s="147" t="s">
        <v>136</v>
      </c>
      <c r="E62" s="154">
        <v>1</v>
      </c>
      <c r="F62" s="157"/>
      <c r="G62" s="158">
        <f>ROUND(E62*F62,2)</f>
        <v>0</v>
      </c>
      <c r="H62" s="158"/>
      <c r="I62" s="158">
        <f>ROUND(E62*H62,2)</f>
        <v>0</v>
      </c>
      <c r="J62" s="158"/>
      <c r="K62" s="158">
        <f>ROUND(E62*J62,2)</f>
        <v>0</v>
      </c>
      <c r="L62" s="158">
        <v>21</v>
      </c>
      <c r="M62" s="158">
        <f>G62*(1+L62/100)</f>
        <v>0</v>
      </c>
      <c r="N62" s="148">
        <v>0</v>
      </c>
      <c r="O62" s="148">
        <f>ROUND(E62*N62,5)</f>
        <v>0</v>
      </c>
      <c r="P62" s="148">
        <v>0</v>
      </c>
      <c r="Q62" s="148">
        <f>ROUND(E62*P62,5)</f>
        <v>0</v>
      </c>
      <c r="R62" s="148"/>
      <c r="S62" s="148"/>
      <c r="T62" s="149">
        <v>0</v>
      </c>
      <c r="U62" s="148">
        <f>ROUND(E62*T62,2)</f>
        <v>0</v>
      </c>
      <c r="V62" s="140"/>
      <c r="W62" s="140"/>
      <c r="X62" s="140"/>
      <c r="Y62" s="140"/>
      <c r="Z62" s="140"/>
      <c r="AA62" s="140"/>
      <c r="AB62" s="140"/>
      <c r="AC62" s="140"/>
      <c r="AD62" s="140"/>
      <c r="AE62" s="140" t="s">
        <v>128</v>
      </c>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x14ac:dyDescent="0.25">
      <c r="A63" s="141"/>
      <c r="B63" s="141"/>
      <c r="C63" s="179" t="s">
        <v>194</v>
      </c>
      <c r="D63" s="150"/>
      <c r="E63" s="155">
        <v>1</v>
      </c>
      <c r="F63" s="158"/>
      <c r="G63" s="158"/>
      <c r="H63" s="158"/>
      <c r="I63" s="158"/>
      <c r="J63" s="158"/>
      <c r="K63" s="158"/>
      <c r="L63" s="158"/>
      <c r="M63" s="158"/>
      <c r="N63" s="148"/>
      <c r="O63" s="148"/>
      <c r="P63" s="148"/>
      <c r="Q63" s="148"/>
      <c r="R63" s="148"/>
      <c r="S63" s="148"/>
      <c r="T63" s="149"/>
      <c r="U63" s="148"/>
      <c r="V63" s="140"/>
      <c r="W63" s="140"/>
      <c r="X63" s="140"/>
      <c r="Y63" s="140"/>
      <c r="Z63" s="140"/>
      <c r="AA63" s="140"/>
      <c r="AB63" s="140"/>
      <c r="AC63" s="140"/>
      <c r="AD63" s="140"/>
      <c r="AE63" s="140" t="s">
        <v>130</v>
      </c>
      <c r="AF63" s="140">
        <v>0</v>
      </c>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1" x14ac:dyDescent="0.25">
      <c r="A64" s="141">
        <v>20</v>
      </c>
      <c r="B64" s="141" t="s">
        <v>197</v>
      </c>
      <c r="C64" s="178" t="s">
        <v>198</v>
      </c>
      <c r="D64" s="147" t="s">
        <v>136</v>
      </c>
      <c r="E64" s="154">
        <v>11</v>
      </c>
      <c r="F64" s="157"/>
      <c r="G64" s="158">
        <f>ROUND(E64*F64,2)</f>
        <v>0</v>
      </c>
      <c r="H64" s="158"/>
      <c r="I64" s="158">
        <f>ROUND(E64*H64,2)</f>
        <v>0</v>
      </c>
      <c r="J64" s="158"/>
      <c r="K64" s="158">
        <f>ROUND(E64*J64,2)</f>
        <v>0</v>
      </c>
      <c r="L64" s="158">
        <v>21</v>
      </c>
      <c r="M64" s="158">
        <f>G64*(1+L64/100)</f>
        <v>0</v>
      </c>
      <c r="N64" s="148">
        <v>0</v>
      </c>
      <c r="O64" s="148">
        <f>ROUND(E64*N64,5)</f>
        <v>0</v>
      </c>
      <c r="P64" s="148">
        <v>0</v>
      </c>
      <c r="Q64" s="148">
        <f>ROUND(E64*P64,5)</f>
        <v>0</v>
      </c>
      <c r="R64" s="148"/>
      <c r="S64" s="148"/>
      <c r="T64" s="149">
        <v>0</v>
      </c>
      <c r="U64" s="148">
        <f>ROUND(E64*T64,2)</f>
        <v>0</v>
      </c>
      <c r="V64" s="140"/>
      <c r="W64" s="140"/>
      <c r="X64" s="140"/>
      <c r="Y64" s="140"/>
      <c r="Z64" s="140"/>
      <c r="AA64" s="140"/>
      <c r="AB64" s="140"/>
      <c r="AC64" s="140"/>
      <c r="AD64" s="140"/>
      <c r="AE64" s="140" t="s">
        <v>128</v>
      </c>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1" x14ac:dyDescent="0.25">
      <c r="A65" s="141"/>
      <c r="B65" s="141"/>
      <c r="C65" s="179" t="s">
        <v>186</v>
      </c>
      <c r="D65" s="150"/>
      <c r="E65" s="155">
        <v>1</v>
      </c>
      <c r="F65" s="158"/>
      <c r="G65" s="158"/>
      <c r="H65" s="158"/>
      <c r="I65" s="158"/>
      <c r="J65" s="158"/>
      <c r="K65" s="158"/>
      <c r="L65" s="158"/>
      <c r="M65" s="158"/>
      <c r="N65" s="148"/>
      <c r="O65" s="148"/>
      <c r="P65" s="148"/>
      <c r="Q65" s="148"/>
      <c r="R65" s="148"/>
      <c r="S65" s="148"/>
      <c r="T65" s="149"/>
      <c r="U65" s="148"/>
      <c r="V65" s="140"/>
      <c r="W65" s="140"/>
      <c r="X65" s="140"/>
      <c r="Y65" s="140"/>
      <c r="Z65" s="140"/>
      <c r="AA65" s="140"/>
      <c r="AB65" s="140"/>
      <c r="AC65" s="140"/>
      <c r="AD65" s="140"/>
      <c r="AE65" s="140" t="s">
        <v>130</v>
      </c>
      <c r="AF65" s="140">
        <v>0</v>
      </c>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x14ac:dyDescent="0.25">
      <c r="A66" s="141"/>
      <c r="B66" s="141"/>
      <c r="C66" s="179" t="s">
        <v>187</v>
      </c>
      <c r="D66" s="150"/>
      <c r="E66" s="155">
        <v>1</v>
      </c>
      <c r="F66" s="158"/>
      <c r="G66" s="158"/>
      <c r="H66" s="158"/>
      <c r="I66" s="158"/>
      <c r="J66" s="158"/>
      <c r="K66" s="158"/>
      <c r="L66" s="158"/>
      <c r="M66" s="158"/>
      <c r="N66" s="148"/>
      <c r="O66" s="148"/>
      <c r="P66" s="148"/>
      <c r="Q66" s="148"/>
      <c r="R66" s="148"/>
      <c r="S66" s="148"/>
      <c r="T66" s="149"/>
      <c r="U66" s="148"/>
      <c r="V66" s="140"/>
      <c r="W66" s="140"/>
      <c r="X66" s="140"/>
      <c r="Y66" s="140"/>
      <c r="Z66" s="140"/>
      <c r="AA66" s="140"/>
      <c r="AB66" s="140"/>
      <c r="AC66" s="140"/>
      <c r="AD66" s="140"/>
      <c r="AE66" s="140" t="s">
        <v>130</v>
      </c>
      <c r="AF66" s="140">
        <v>0</v>
      </c>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1" x14ac:dyDescent="0.25">
      <c r="A67" s="141"/>
      <c r="B67" s="141"/>
      <c r="C67" s="179" t="s">
        <v>188</v>
      </c>
      <c r="D67" s="150"/>
      <c r="E67" s="155">
        <v>1</v>
      </c>
      <c r="F67" s="158"/>
      <c r="G67" s="158"/>
      <c r="H67" s="158"/>
      <c r="I67" s="158"/>
      <c r="J67" s="158"/>
      <c r="K67" s="158"/>
      <c r="L67" s="158"/>
      <c r="M67" s="158"/>
      <c r="N67" s="148"/>
      <c r="O67" s="148"/>
      <c r="P67" s="148"/>
      <c r="Q67" s="148"/>
      <c r="R67" s="148"/>
      <c r="S67" s="148"/>
      <c r="T67" s="149"/>
      <c r="U67" s="148"/>
      <c r="V67" s="140"/>
      <c r="W67" s="140"/>
      <c r="X67" s="140"/>
      <c r="Y67" s="140"/>
      <c r="Z67" s="140"/>
      <c r="AA67" s="140"/>
      <c r="AB67" s="140"/>
      <c r="AC67" s="140"/>
      <c r="AD67" s="140"/>
      <c r="AE67" s="140" t="s">
        <v>130</v>
      </c>
      <c r="AF67" s="140">
        <v>0</v>
      </c>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x14ac:dyDescent="0.25">
      <c r="A68" s="141"/>
      <c r="B68" s="141"/>
      <c r="C68" s="179" t="s">
        <v>189</v>
      </c>
      <c r="D68" s="150"/>
      <c r="E68" s="155">
        <v>1</v>
      </c>
      <c r="F68" s="158"/>
      <c r="G68" s="158"/>
      <c r="H68" s="158"/>
      <c r="I68" s="158"/>
      <c r="J68" s="158"/>
      <c r="K68" s="158"/>
      <c r="L68" s="158"/>
      <c r="M68" s="158"/>
      <c r="N68" s="148"/>
      <c r="O68" s="148"/>
      <c r="P68" s="148"/>
      <c r="Q68" s="148"/>
      <c r="R68" s="148"/>
      <c r="S68" s="148"/>
      <c r="T68" s="149"/>
      <c r="U68" s="148"/>
      <c r="V68" s="140"/>
      <c r="W68" s="140"/>
      <c r="X68" s="140"/>
      <c r="Y68" s="140"/>
      <c r="Z68" s="140"/>
      <c r="AA68" s="140"/>
      <c r="AB68" s="140"/>
      <c r="AC68" s="140"/>
      <c r="AD68" s="140"/>
      <c r="AE68" s="140" t="s">
        <v>130</v>
      </c>
      <c r="AF68" s="140">
        <v>0</v>
      </c>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x14ac:dyDescent="0.25">
      <c r="A69" s="141"/>
      <c r="B69" s="141"/>
      <c r="C69" s="179" t="s">
        <v>190</v>
      </c>
      <c r="D69" s="150"/>
      <c r="E69" s="155">
        <v>1</v>
      </c>
      <c r="F69" s="158"/>
      <c r="G69" s="158"/>
      <c r="H69" s="158"/>
      <c r="I69" s="158"/>
      <c r="J69" s="158"/>
      <c r="K69" s="158"/>
      <c r="L69" s="158"/>
      <c r="M69" s="158"/>
      <c r="N69" s="148"/>
      <c r="O69" s="148"/>
      <c r="P69" s="148"/>
      <c r="Q69" s="148"/>
      <c r="R69" s="148"/>
      <c r="S69" s="148"/>
      <c r="T69" s="149"/>
      <c r="U69" s="148"/>
      <c r="V69" s="140"/>
      <c r="W69" s="140"/>
      <c r="X69" s="140"/>
      <c r="Y69" s="140"/>
      <c r="Z69" s="140"/>
      <c r="AA69" s="140"/>
      <c r="AB69" s="140"/>
      <c r="AC69" s="140"/>
      <c r="AD69" s="140"/>
      <c r="AE69" s="140" t="s">
        <v>130</v>
      </c>
      <c r="AF69" s="140">
        <v>0</v>
      </c>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1" x14ac:dyDescent="0.25">
      <c r="A70" s="141"/>
      <c r="B70" s="141"/>
      <c r="C70" s="179" t="s">
        <v>191</v>
      </c>
      <c r="D70" s="150"/>
      <c r="E70" s="155">
        <v>2</v>
      </c>
      <c r="F70" s="158"/>
      <c r="G70" s="158"/>
      <c r="H70" s="158"/>
      <c r="I70" s="158"/>
      <c r="J70" s="158"/>
      <c r="K70" s="158"/>
      <c r="L70" s="158"/>
      <c r="M70" s="158"/>
      <c r="N70" s="148"/>
      <c r="O70" s="148"/>
      <c r="P70" s="148"/>
      <c r="Q70" s="148"/>
      <c r="R70" s="148"/>
      <c r="S70" s="148"/>
      <c r="T70" s="149"/>
      <c r="U70" s="148"/>
      <c r="V70" s="140"/>
      <c r="W70" s="140"/>
      <c r="X70" s="140"/>
      <c r="Y70" s="140"/>
      <c r="Z70" s="140"/>
      <c r="AA70" s="140"/>
      <c r="AB70" s="140"/>
      <c r="AC70" s="140"/>
      <c r="AD70" s="140"/>
      <c r="AE70" s="140" t="s">
        <v>130</v>
      </c>
      <c r="AF70" s="140">
        <v>0</v>
      </c>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1" x14ac:dyDescent="0.25">
      <c r="A71" s="141"/>
      <c r="B71" s="141"/>
      <c r="C71" s="179" t="s">
        <v>199</v>
      </c>
      <c r="D71" s="150"/>
      <c r="E71" s="155">
        <v>1</v>
      </c>
      <c r="F71" s="158"/>
      <c r="G71" s="158"/>
      <c r="H71" s="158"/>
      <c r="I71" s="158"/>
      <c r="J71" s="158"/>
      <c r="K71" s="158"/>
      <c r="L71" s="158"/>
      <c r="M71" s="158"/>
      <c r="N71" s="148"/>
      <c r="O71" s="148"/>
      <c r="P71" s="148"/>
      <c r="Q71" s="148"/>
      <c r="R71" s="148"/>
      <c r="S71" s="148"/>
      <c r="T71" s="149"/>
      <c r="U71" s="148"/>
      <c r="V71" s="140"/>
      <c r="W71" s="140"/>
      <c r="X71" s="140"/>
      <c r="Y71" s="140"/>
      <c r="Z71" s="140"/>
      <c r="AA71" s="140"/>
      <c r="AB71" s="140"/>
      <c r="AC71" s="140"/>
      <c r="AD71" s="140"/>
      <c r="AE71" s="140" t="s">
        <v>130</v>
      </c>
      <c r="AF71" s="140">
        <v>0</v>
      </c>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x14ac:dyDescent="0.25">
      <c r="A72" s="141"/>
      <c r="B72" s="141"/>
      <c r="C72" s="179" t="s">
        <v>183</v>
      </c>
      <c r="D72" s="150"/>
      <c r="E72" s="155">
        <v>1</v>
      </c>
      <c r="F72" s="158"/>
      <c r="G72" s="158"/>
      <c r="H72" s="158"/>
      <c r="I72" s="158"/>
      <c r="J72" s="158"/>
      <c r="K72" s="158"/>
      <c r="L72" s="158"/>
      <c r="M72" s="158"/>
      <c r="N72" s="148"/>
      <c r="O72" s="148"/>
      <c r="P72" s="148"/>
      <c r="Q72" s="148"/>
      <c r="R72" s="148"/>
      <c r="S72" s="148"/>
      <c r="T72" s="149"/>
      <c r="U72" s="148"/>
      <c r="V72" s="140"/>
      <c r="W72" s="140"/>
      <c r="X72" s="140"/>
      <c r="Y72" s="140"/>
      <c r="Z72" s="140"/>
      <c r="AA72" s="140"/>
      <c r="AB72" s="140"/>
      <c r="AC72" s="140"/>
      <c r="AD72" s="140"/>
      <c r="AE72" s="140" t="s">
        <v>130</v>
      </c>
      <c r="AF72" s="140">
        <v>0</v>
      </c>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1" x14ac:dyDescent="0.25">
      <c r="A73" s="141"/>
      <c r="B73" s="141"/>
      <c r="C73" s="179" t="s">
        <v>174</v>
      </c>
      <c r="D73" s="150"/>
      <c r="E73" s="155">
        <v>1</v>
      </c>
      <c r="F73" s="158"/>
      <c r="G73" s="158"/>
      <c r="H73" s="158"/>
      <c r="I73" s="158"/>
      <c r="J73" s="158"/>
      <c r="K73" s="158"/>
      <c r="L73" s="158"/>
      <c r="M73" s="158"/>
      <c r="N73" s="148"/>
      <c r="O73" s="148"/>
      <c r="P73" s="148"/>
      <c r="Q73" s="148"/>
      <c r="R73" s="148"/>
      <c r="S73" s="148"/>
      <c r="T73" s="149"/>
      <c r="U73" s="148"/>
      <c r="V73" s="140"/>
      <c r="W73" s="140"/>
      <c r="X73" s="140"/>
      <c r="Y73" s="140"/>
      <c r="Z73" s="140"/>
      <c r="AA73" s="140"/>
      <c r="AB73" s="140"/>
      <c r="AC73" s="140"/>
      <c r="AD73" s="140"/>
      <c r="AE73" s="140" t="s">
        <v>130</v>
      </c>
      <c r="AF73" s="140">
        <v>0</v>
      </c>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1" x14ac:dyDescent="0.25">
      <c r="A74" s="141"/>
      <c r="B74" s="141"/>
      <c r="C74" s="179" t="s">
        <v>171</v>
      </c>
      <c r="D74" s="150"/>
      <c r="E74" s="155">
        <v>1</v>
      </c>
      <c r="F74" s="158"/>
      <c r="G74" s="158"/>
      <c r="H74" s="158"/>
      <c r="I74" s="158"/>
      <c r="J74" s="158"/>
      <c r="K74" s="158"/>
      <c r="L74" s="158"/>
      <c r="M74" s="158"/>
      <c r="N74" s="148"/>
      <c r="O74" s="148"/>
      <c r="P74" s="148"/>
      <c r="Q74" s="148"/>
      <c r="R74" s="148"/>
      <c r="S74" s="148"/>
      <c r="T74" s="149"/>
      <c r="U74" s="148"/>
      <c r="V74" s="140"/>
      <c r="W74" s="140"/>
      <c r="X74" s="140"/>
      <c r="Y74" s="140"/>
      <c r="Z74" s="140"/>
      <c r="AA74" s="140"/>
      <c r="AB74" s="140"/>
      <c r="AC74" s="140"/>
      <c r="AD74" s="140"/>
      <c r="AE74" s="140" t="s">
        <v>130</v>
      </c>
      <c r="AF74" s="140">
        <v>0</v>
      </c>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x14ac:dyDescent="0.25">
      <c r="A75" s="142" t="s">
        <v>123</v>
      </c>
      <c r="B75" s="142" t="s">
        <v>60</v>
      </c>
      <c r="C75" s="180" t="s">
        <v>61</v>
      </c>
      <c r="D75" s="151"/>
      <c r="E75" s="156"/>
      <c r="F75" s="159"/>
      <c r="G75" s="159">
        <f>SUMIF(AE76:AE81,"&lt;&gt;NOR",G76:G81)</f>
        <v>0</v>
      </c>
      <c r="H75" s="159"/>
      <c r="I75" s="159">
        <f>SUM(I76:I81)</f>
        <v>0</v>
      </c>
      <c r="J75" s="159"/>
      <c r="K75" s="159">
        <f>SUM(K76:K81)</f>
        <v>0</v>
      </c>
      <c r="L75" s="159"/>
      <c r="M75" s="159">
        <f>SUM(M76:M81)</f>
        <v>0</v>
      </c>
      <c r="N75" s="152"/>
      <c r="O75" s="152">
        <f>SUM(O76:O81)</f>
        <v>0</v>
      </c>
      <c r="P75" s="152"/>
      <c r="Q75" s="152">
        <f>SUM(Q76:Q81)</f>
        <v>0</v>
      </c>
      <c r="R75" s="152"/>
      <c r="S75" s="152"/>
      <c r="T75" s="153"/>
      <c r="U75" s="152">
        <f>SUM(U76:U81)</f>
        <v>0</v>
      </c>
      <c r="AE75" t="s">
        <v>124</v>
      </c>
    </row>
    <row r="76" spans="1:60" ht="20" outlineLevel="1" x14ac:dyDescent="0.25">
      <c r="A76" s="141">
        <v>21</v>
      </c>
      <c r="B76" s="141" t="s">
        <v>200</v>
      </c>
      <c r="C76" s="178" t="s">
        <v>619</v>
      </c>
      <c r="D76" s="147" t="s">
        <v>136</v>
      </c>
      <c r="E76" s="154">
        <v>11</v>
      </c>
      <c r="F76" s="157"/>
      <c r="G76" s="158">
        <f>ROUND(E76*F76,2)</f>
        <v>0</v>
      </c>
      <c r="H76" s="158"/>
      <c r="I76" s="158">
        <f>ROUND(E76*H76,2)</f>
        <v>0</v>
      </c>
      <c r="J76" s="158"/>
      <c r="K76" s="158">
        <f>ROUND(E76*J76,2)</f>
        <v>0</v>
      </c>
      <c r="L76" s="158">
        <v>21</v>
      </c>
      <c r="M76" s="158">
        <f>G76*(1+L76/100)</f>
        <v>0</v>
      </c>
      <c r="N76" s="148">
        <v>0</v>
      </c>
      <c r="O76" s="148">
        <f>ROUND(E76*N76,5)</f>
        <v>0</v>
      </c>
      <c r="P76" s="148">
        <v>0</v>
      </c>
      <c r="Q76" s="148">
        <f>ROUND(E76*P76,5)</f>
        <v>0</v>
      </c>
      <c r="R76" s="148"/>
      <c r="S76" s="148"/>
      <c r="T76" s="149">
        <v>0</v>
      </c>
      <c r="U76" s="148">
        <f>ROUND(E76*T76,2)</f>
        <v>0</v>
      </c>
      <c r="V76" s="140"/>
      <c r="W76" s="140"/>
      <c r="X76" s="140"/>
      <c r="Y76" s="140"/>
      <c r="Z76" s="140"/>
      <c r="AA76" s="140"/>
      <c r="AB76" s="140"/>
      <c r="AC76" s="140"/>
      <c r="AD76" s="140"/>
      <c r="AE76" s="140" t="s">
        <v>128</v>
      </c>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1" x14ac:dyDescent="0.25">
      <c r="A77" s="141"/>
      <c r="B77" s="141"/>
      <c r="C77" s="179" t="s">
        <v>201</v>
      </c>
      <c r="D77" s="150"/>
      <c r="E77" s="155">
        <v>11</v>
      </c>
      <c r="F77" s="158"/>
      <c r="G77" s="158"/>
      <c r="H77" s="158"/>
      <c r="I77" s="158"/>
      <c r="J77" s="158"/>
      <c r="K77" s="158"/>
      <c r="L77" s="158"/>
      <c r="M77" s="158"/>
      <c r="N77" s="148"/>
      <c r="O77" s="148"/>
      <c r="P77" s="148"/>
      <c r="Q77" s="148"/>
      <c r="R77" s="148"/>
      <c r="S77" s="148"/>
      <c r="T77" s="149"/>
      <c r="U77" s="148"/>
      <c r="V77" s="140"/>
      <c r="W77" s="140"/>
      <c r="X77" s="140"/>
      <c r="Y77" s="140"/>
      <c r="Z77" s="140"/>
      <c r="AA77" s="140"/>
      <c r="AB77" s="140"/>
      <c r="AC77" s="140"/>
      <c r="AD77" s="140"/>
      <c r="AE77" s="140" t="s">
        <v>130</v>
      </c>
      <c r="AF77" s="140">
        <v>0</v>
      </c>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t="20" outlineLevel="1" x14ac:dyDescent="0.25">
      <c r="A78" s="141">
        <v>22</v>
      </c>
      <c r="B78" s="141" t="s">
        <v>202</v>
      </c>
      <c r="C78" s="178" t="s">
        <v>618</v>
      </c>
      <c r="D78" s="147" t="s">
        <v>203</v>
      </c>
      <c r="E78" s="154">
        <v>15</v>
      </c>
      <c r="F78" s="157"/>
      <c r="G78" s="158">
        <f>ROUND(E78*F78,2)</f>
        <v>0</v>
      </c>
      <c r="H78" s="158"/>
      <c r="I78" s="158">
        <f>ROUND(E78*H78,2)</f>
        <v>0</v>
      </c>
      <c r="J78" s="158"/>
      <c r="K78" s="158">
        <f>ROUND(E78*J78,2)</f>
        <v>0</v>
      </c>
      <c r="L78" s="158">
        <v>21</v>
      </c>
      <c r="M78" s="158">
        <f>G78*(1+L78/100)</f>
        <v>0</v>
      </c>
      <c r="N78" s="148">
        <v>0</v>
      </c>
      <c r="O78" s="148">
        <f>ROUND(E78*N78,5)</f>
        <v>0</v>
      </c>
      <c r="P78" s="148">
        <v>0</v>
      </c>
      <c r="Q78" s="148">
        <f>ROUND(E78*P78,5)</f>
        <v>0</v>
      </c>
      <c r="R78" s="148"/>
      <c r="S78" s="148"/>
      <c r="T78" s="149">
        <v>0</v>
      </c>
      <c r="U78" s="148">
        <f>ROUND(E78*T78,2)</f>
        <v>0</v>
      </c>
      <c r="V78" s="140"/>
      <c r="W78" s="140"/>
      <c r="X78" s="140"/>
      <c r="Y78" s="140"/>
      <c r="Z78" s="140"/>
      <c r="AA78" s="140"/>
      <c r="AB78" s="140"/>
      <c r="AC78" s="140"/>
      <c r="AD78" s="140"/>
      <c r="AE78" s="140" t="s">
        <v>128</v>
      </c>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x14ac:dyDescent="0.25">
      <c r="A79" s="141"/>
      <c r="B79" s="141"/>
      <c r="C79" s="179" t="s">
        <v>204</v>
      </c>
      <c r="D79" s="150"/>
      <c r="E79" s="155">
        <v>15</v>
      </c>
      <c r="F79" s="158"/>
      <c r="G79" s="158"/>
      <c r="H79" s="158"/>
      <c r="I79" s="158"/>
      <c r="J79" s="158"/>
      <c r="K79" s="158"/>
      <c r="L79" s="158"/>
      <c r="M79" s="158"/>
      <c r="N79" s="148"/>
      <c r="O79" s="148"/>
      <c r="P79" s="148"/>
      <c r="Q79" s="148"/>
      <c r="R79" s="148"/>
      <c r="S79" s="148"/>
      <c r="T79" s="149"/>
      <c r="U79" s="148"/>
      <c r="V79" s="140"/>
      <c r="W79" s="140"/>
      <c r="X79" s="140"/>
      <c r="Y79" s="140"/>
      <c r="Z79" s="140"/>
      <c r="AA79" s="140"/>
      <c r="AB79" s="140"/>
      <c r="AC79" s="140"/>
      <c r="AD79" s="140"/>
      <c r="AE79" s="140" t="s">
        <v>130</v>
      </c>
      <c r="AF79" s="140">
        <v>0</v>
      </c>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0" outlineLevel="1" x14ac:dyDescent="0.25">
      <c r="A80" s="141">
        <v>23</v>
      </c>
      <c r="B80" s="141" t="s">
        <v>205</v>
      </c>
      <c r="C80" s="178" t="s">
        <v>206</v>
      </c>
      <c r="D80" s="147" t="s">
        <v>207</v>
      </c>
      <c r="E80" s="154">
        <v>1</v>
      </c>
      <c r="F80" s="157"/>
      <c r="G80" s="158">
        <f>ROUND(E80*F80,2)</f>
        <v>0</v>
      </c>
      <c r="H80" s="158"/>
      <c r="I80" s="158">
        <f>ROUND(E80*H80,2)</f>
        <v>0</v>
      </c>
      <c r="J80" s="158"/>
      <c r="K80" s="158">
        <f>ROUND(E80*J80,2)</f>
        <v>0</v>
      </c>
      <c r="L80" s="158">
        <v>21</v>
      </c>
      <c r="M80" s="158">
        <f>G80*(1+L80/100)</f>
        <v>0</v>
      </c>
      <c r="N80" s="148">
        <v>0</v>
      </c>
      <c r="O80" s="148">
        <f>ROUND(E80*N80,5)</f>
        <v>0</v>
      </c>
      <c r="P80" s="148">
        <v>0</v>
      </c>
      <c r="Q80" s="148">
        <f>ROUND(E80*P80,5)</f>
        <v>0</v>
      </c>
      <c r="R80" s="148"/>
      <c r="S80" s="148"/>
      <c r="T80" s="149">
        <v>0</v>
      </c>
      <c r="U80" s="148">
        <f>ROUND(E80*T80,2)</f>
        <v>0</v>
      </c>
      <c r="V80" s="140"/>
      <c r="W80" s="140"/>
      <c r="X80" s="140"/>
      <c r="Y80" s="140"/>
      <c r="Z80" s="140"/>
      <c r="AA80" s="140"/>
      <c r="AB80" s="140"/>
      <c r="AC80" s="140"/>
      <c r="AD80" s="140"/>
      <c r="AE80" s="140" t="s">
        <v>128</v>
      </c>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1" x14ac:dyDescent="0.25">
      <c r="A81" s="141"/>
      <c r="B81" s="141"/>
      <c r="C81" s="179" t="s">
        <v>52</v>
      </c>
      <c r="D81" s="150"/>
      <c r="E81" s="155">
        <v>1</v>
      </c>
      <c r="F81" s="158"/>
      <c r="G81" s="158"/>
      <c r="H81" s="158"/>
      <c r="I81" s="158"/>
      <c r="J81" s="158"/>
      <c r="K81" s="158"/>
      <c r="L81" s="158"/>
      <c r="M81" s="158"/>
      <c r="N81" s="148"/>
      <c r="O81" s="148"/>
      <c r="P81" s="148"/>
      <c r="Q81" s="148"/>
      <c r="R81" s="148"/>
      <c r="S81" s="148"/>
      <c r="T81" s="149"/>
      <c r="U81" s="148"/>
      <c r="V81" s="140"/>
      <c r="W81" s="140"/>
      <c r="X81" s="140"/>
      <c r="Y81" s="140"/>
      <c r="Z81" s="140"/>
      <c r="AA81" s="140"/>
      <c r="AB81" s="140"/>
      <c r="AC81" s="140"/>
      <c r="AD81" s="140"/>
      <c r="AE81" s="140" t="s">
        <v>130</v>
      </c>
      <c r="AF81" s="140">
        <v>0</v>
      </c>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x14ac:dyDescent="0.25">
      <c r="A82" s="142" t="s">
        <v>123</v>
      </c>
      <c r="B82" s="142" t="s">
        <v>62</v>
      </c>
      <c r="C82" s="180" t="s">
        <v>63</v>
      </c>
      <c r="D82" s="151"/>
      <c r="E82" s="156"/>
      <c r="F82" s="159"/>
      <c r="G82" s="159">
        <f>SUMIF(AE83:AE85,"&lt;&gt;NOR",G83:G85)</f>
        <v>0</v>
      </c>
      <c r="H82" s="159"/>
      <c r="I82" s="159">
        <f>SUM(I83:I85)</f>
        <v>0</v>
      </c>
      <c r="J82" s="159"/>
      <c r="K82" s="159">
        <f>SUM(K83:K85)</f>
        <v>0</v>
      </c>
      <c r="L82" s="159"/>
      <c r="M82" s="159">
        <f>SUM(M83:M85)</f>
        <v>0</v>
      </c>
      <c r="N82" s="152"/>
      <c r="O82" s="152">
        <f>SUM(O83:O85)</f>
        <v>9.6850000000000006E-2</v>
      </c>
      <c r="P82" s="152"/>
      <c r="Q82" s="152">
        <f>SUM(Q83:Q85)</f>
        <v>0</v>
      </c>
      <c r="R82" s="152"/>
      <c r="S82" s="152"/>
      <c r="T82" s="153"/>
      <c r="U82" s="152">
        <f>SUM(U83:U85)</f>
        <v>14.41</v>
      </c>
      <c r="AE82" t="s">
        <v>124</v>
      </c>
    </row>
    <row r="83" spans="1:60" outlineLevel="1" x14ac:dyDescent="0.25">
      <c r="A83" s="141">
        <v>24</v>
      </c>
      <c r="B83" s="141" t="s">
        <v>208</v>
      </c>
      <c r="C83" s="178" t="s">
        <v>209</v>
      </c>
      <c r="D83" s="147" t="s">
        <v>139</v>
      </c>
      <c r="E83" s="154">
        <v>80.040000000000006</v>
      </c>
      <c r="F83" s="157"/>
      <c r="G83" s="158">
        <f>ROUND(E83*F83,2)</f>
        <v>0</v>
      </c>
      <c r="H83" s="158"/>
      <c r="I83" s="158">
        <f>ROUND(E83*H83,2)</f>
        <v>0</v>
      </c>
      <c r="J83" s="158"/>
      <c r="K83" s="158">
        <f>ROUND(E83*J83,2)</f>
        <v>0</v>
      </c>
      <c r="L83" s="158">
        <v>21</v>
      </c>
      <c r="M83" s="158">
        <f>G83*(1+L83/100)</f>
        <v>0</v>
      </c>
      <c r="N83" s="148">
        <v>1.2099999999999999E-3</v>
      </c>
      <c r="O83" s="148">
        <f>ROUND(E83*N83,5)</f>
        <v>9.6850000000000006E-2</v>
      </c>
      <c r="P83" s="148">
        <v>0</v>
      </c>
      <c r="Q83" s="148">
        <f>ROUND(E83*P83,5)</f>
        <v>0</v>
      </c>
      <c r="R83" s="148"/>
      <c r="S83" s="148"/>
      <c r="T83" s="149">
        <v>0.18</v>
      </c>
      <c r="U83" s="148">
        <f>ROUND(E83*T83,2)</f>
        <v>14.41</v>
      </c>
      <c r="V83" s="140"/>
      <c r="W83" s="140"/>
      <c r="X83" s="140"/>
      <c r="Y83" s="140"/>
      <c r="Z83" s="140"/>
      <c r="AA83" s="140"/>
      <c r="AB83" s="140"/>
      <c r="AC83" s="140"/>
      <c r="AD83" s="140"/>
      <c r="AE83" s="140" t="s">
        <v>128</v>
      </c>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1" x14ac:dyDescent="0.25">
      <c r="A84" s="141"/>
      <c r="B84" s="141"/>
      <c r="C84" s="179" t="s">
        <v>210</v>
      </c>
      <c r="D84" s="150"/>
      <c r="E84" s="155">
        <v>40.19</v>
      </c>
      <c r="F84" s="158"/>
      <c r="G84" s="158"/>
      <c r="H84" s="158"/>
      <c r="I84" s="158"/>
      <c r="J84" s="158"/>
      <c r="K84" s="158"/>
      <c r="L84" s="158"/>
      <c r="M84" s="158"/>
      <c r="N84" s="148"/>
      <c r="O84" s="148"/>
      <c r="P84" s="148"/>
      <c r="Q84" s="148"/>
      <c r="R84" s="148"/>
      <c r="S84" s="148"/>
      <c r="T84" s="149"/>
      <c r="U84" s="148"/>
      <c r="V84" s="140"/>
      <c r="W84" s="140"/>
      <c r="X84" s="140"/>
      <c r="Y84" s="140"/>
      <c r="Z84" s="140"/>
      <c r="AA84" s="140"/>
      <c r="AB84" s="140"/>
      <c r="AC84" s="140"/>
      <c r="AD84" s="140"/>
      <c r="AE84" s="140" t="s">
        <v>130</v>
      </c>
      <c r="AF84" s="140">
        <v>0</v>
      </c>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x14ac:dyDescent="0.25">
      <c r="A85" s="141"/>
      <c r="B85" s="141"/>
      <c r="C85" s="179" t="s">
        <v>158</v>
      </c>
      <c r="D85" s="150"/>
      <c r="E85" s="155">
        <v>39.85</v>
      </c>
      <c r="F85" s="158"/>
      <c r="G85" s="158"/>
      <c r="H85" s="158"/>
      <c r="I85" s="158"/>
      <c r="J85" s="158"/>
      <c r="K85" s="158"/>
      <c r="L85" s="158"/>
      <c r="M85" s="158"/>
      <c r="N85" s="148"/>
      <c r="O85" s="148"/>
      <c r="P85" s="148"/>
      <c r="Q85" s="148"/>
      <c r="R85" s="148"/>
      <c r="S85" s="148"/>
      <c r="T85" s="149"/>
      <c r="U85" s="148"/>
      <c r="V85" s="140"/>
      <c r="W85" s="140"/>
      <c r="X85" s="140"/>
      <c r="Y85" s="140"/>
      <c r="Z85" s="140"/>
      <c r="AA85" s="140"/>
      <c r="AB85" s="140"/>
      <c r="AC85" s="140"/>
      <c r="AD85" s="140"/>
      <c r="AE85" s="140" t="s">
        <v>130</v>
      </c>
      <c r="AF85" s="140">
        <v>0</v>
      </c>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x14ac:dyDescent="0.25">
      <c r="A86" s="142" t="s">
        <v>123</v>
      </c>
      <c r="B86" s="142" t="s">
        <v>64</v>
      </c>
      <c r="C86" s="180" t="s">
        <v>65</v>
      </c>
      <c r="D86" s="151"/>
      <c r="E86" s="156"/>
      <c r="F86" s="159"/>
      <c r="G86" s="159">
        <f>SUMIF(AE87:AE93,"&lt;&gt;NOR",G87:G93)</f>
        <v>0</v>
      </c>
      <c r="H86" s="159"/>
      <c r="I86" s="159">
        <f>SUM(I87:I93)</f>
        <v>0</v>
      </c>
      <c r="J86" s="159"/>
      <c r="K86" s="159">
        <f>SUM(K87:K93)</f>
        <v>0</v>
      </c>
      <c r="L86" s="159"/>
      <c r="M86" s="159">
        <f>SUM(M87:M93)</f>
        <v>0</v>
      </c>
      <c r="N86" s="152"/>
      <c r="O86" s="152">
        <f>SUM(O87:O93)</f>
        <v>0.16408</v>
      </c>
      <c r="P86" s="152"/>
      <c r="Q86" s="152">
        <f>SUM(Q87:Q93)</f>
        <v>0</v>
      </c>
      <c r="R86" s="152"/>
      <c r="S86" s="152"/>
      <c r="T86" s="153"/>
      <c r="U86" s="152">
        <f>SUM(U87:U93)</f>
        <v>24.81</v>
      </c>
      <c r="AE86" t="s">
        <v>124</v>
      </c>
    </row>
    <row r="87" spans="1:60" outlineLevel="1" x14ac:dyDescent="0.25">
      <c r="A87" s="141">
        <v>25</v>
      </c>
      <c r="B87" s="141" t="s">
        <v>211</v>
      </c>
      <c r="C87" s="178" t="s">
        <v>212</v>
      </c>
      <c r="D87" s="147" t="s">
        <v>139</v>
      </c>
      <c r="E87" s="154">
        <v>80.040000000000006</v>
      </c>
      <c r="F87" s="157"/>
      <c r="G87" s="158">
        <f>ROUND(E87*F87,2)</f>
        <v>0</v>
      </c>
      <c r="H87" s="158"/>
      <c r="I87" s="158">
        <f>ROUND(E87*H87,2)</f>
        <v>0</v>
      </c>
      <c r="J87" s="158"/>
      <c r="K87" s="158">
        <f>ROUND(E87*J87,2)</f>
        <v>0</v>
      </c>
      <c r="L87" s="158">
        <v>21</v>
      </c>
      <c r="M87" s="158">
        <f>G87*(1+L87/100)</f>
        <v>0</v>
      </c>
      <c r="N87" s="148">
        <v>2.0500000000000002E-3</v>
      </c>
      <c r="O87" s="148">
        <f>ROUND(E87*N87,5)</f>
        <v>0.16408</v>
      </c>
      <c r="P87" s="148">
        <v>0</v>
      </c>
      <c r="Q87" s="148">
        <f>ROUND(E87*P87,5)</f>
        <v>0</v>
      </c>
      <c r="R87" s="148"/>
      <c r="S87" s="148"/>
      <c r="T87" s="149">
        <v>0.31</v>
      </c>
      <c r="U87" s="148">
        <f>ROUND(E87*T87,2)</f>
        <v>24.81</v>
      </c>
      <c r="V87" s="140"/>
      <c r="W87" s="140"/>
      <c r="X87" s="140"/>
      <c r="Y87" s="140"/>
      <c r="Z87" s="140"/>
      <c r="AA87" s="140"/>
      <c r="AB87" s="140"/>
      <c r="AC87" s="140"/>
      <c r="AD87" s="140"/>
      <c r="AE87" s="140" t="s">
        <v>128</v>
      </c>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1" x14ac:dyDescent="0.25">
      <c r="A88" s="141"/>
      <c r="B88" s="141"/>
      <c r="C88" s="179" t="s">
        <v>210</v>
      </c>
      <c r="D88" s="150"/>
      <c r="E88" s="155">
        <v>40.19</v>
      </c>
      <c r="F88" s="158"/>
      <c r="G88" s="158"/>
      <c r="H88" s="158"/>
      <c r="I88" s="158"/>
      <c r="J88" s="158"/>
      <c r="K88" s="158"/>
      <c r="L88" s="158"/>
      <c r="M88" s="158"/>
      <c r="N88" s="148"/>
      <c r="O88" s="148"/>
      <c r="P88" s="148"/>
      <c r="Q88" s="148"/>
      <c r="R88" s="148"/>
      <c r="S88" s="148"/>
      <c r="T88" s="149"/>
      <c r="U88" s="148"/>
      <c r="V88" s="140"/>
      <c r="W88" s="140"/>
      <c r="X88" s="140"/>
      <c r="Y88" s="140"/>
      <c r="Z88" s="140"/>
      <c r="AA88" s="140"/>
      <c r="AB88" s="140"/>
      <c r="AC88" s="140"/>
      <c r="AD88" s="140"/>
      <c r="AE88" s="140" t="s">
        <v>130</v>
      </c>
      <c r="AF88" s="140">
        <v>0</v>
      </c>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x14ac:dyDescent="0.25">
      <c r="A89" s="141"/>
      <c r="B89" s="141"/>
      <c r="C89" s="179" t="s">
        <v>158</v>
      </c>
      <c r="D89" s="150"/>
      <c r="E89" s="155">
        <v>39.85</v>
      </c>
      <c r="F89" s="158"/>
      <c r="G89" s="158"/>
      <c r="H89" s="158"/>
      <c r="I89" s="158"/>
      <c r="J89" s="158"/>
      <c r="K89" s="158"/>
      <c r="L89" s="158"/>
      <c r="M89" s="158"/>
      <c r="N89" s="148"/>
      <c r="O89" s="148"/>
      <c r="P89" s="148"/>
      <c r="Q89" s="148"/>
      <c r="R89" s="148"/>
      <c r="S89" s="148"/>
      <c r="T89" s="149"/>
      <c r="U89" s="148"/>
      <c r="V89" s="140"/>
      <c r="W89" s="140"/>
      <c r="X89" s="140"/>
      <c r="Y89" s="140"/>
      <c r="Z89" s="140"/>
      <c r="AA89" s="140"/>
      <c r="AB89" s="140"/>
      <c r="AC89" s="140"/>
      <c r="AD89" s="140"/>
      <c r="AE89" s="140" t="s">
        <v>130</v>
      </c>
      <c r="AF89" s="140">
        <v>0</v>
      </c>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1" x14ac:dyDescent="0.25">
      <c r="A90" s="141">
        <v>26</v>
      </c>
      <c r="B90" s="141" t="s">
        <v>213</v>
      </c>
      <c r="C90" s="178" t="s">
        <v>214</v>
      </c>
      <c r="D90" s="147" t="s">
        <v>207</v>
      </c>
      <c r="E90" s="154">
        <v>1</v>
      </c>
      <c r="F90" s="157"/>
      <c r="G90" s="158">
        <f>ROUND(E90*F90,2)</f>
        <v>0</v>
      </c>
      <c r="H90" s="158"/>
      <c r="I90" s="158">
        <f>ROUND(E90*H90,2)</f>
        <v>0</v>
      </c>
      <c r="J90" s="158"/>
      <c r="K90" s="158">
        <f>ROUND(E90*J90,2)</f>
        <v>0</v>
      </c>
      <c r="L90" s="158">
        <v>21</v>
      </c>
      <c r="M90" s="158">
        <f>G90*(1+L90/100)</f>
        <v>0</v>
      </c>
      <c r="N90" s="148">
        <v>0</v>
      </c>
      <c r="O90" s="148">
        <f>ROUND(E90*N90,5)</f>
        <v>0</v>
      </c>
      <c r="P90" s="148">
        <v>0</v>
      </c>
      <c r="Q90" s="148">
        <f>ROUND(E90*P90,5)</f>
        <v>0</v>
      </c>
      <c r="R90" s="148"/>
      <c r="S90" s="148"/>
      <c r="T90" s="149">
        <v>0</v>
      </c>
      <c r="U90" s="148">
        <f>ROUND(E90*T90,2)</f>
        <v>0</v>
      </c>
      <c r="V90" s="140"/>
      <c r="W90" s="140"/>
      <c r="X90" s="140"/>
      <c r="Y90" s="140"/>
      <c r="Z90" s="140"/>
      <c r="AA90" s="140"/>
      <c r="AB90" s="140"/>
      <c r="AC90" s="140"/>
      <c r="AD90" s="140"/>
      <c r="AE90" s="140" t="s">
        <v>128</v>
      </c>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x14ac:dyDescent="0.25">
      <c r="A91" s="141"/>
      <c r="B91" s="141"/>
      <c r="C91" s="179" t="s">
        <v>52</v>
      </c>
      <c r="D91" s="150"/>
      <c r="E91" s="155">
        <v>1</v>
      </c>
      <c r="F91" s="158"/>
      <c r="G91" s="158"/>
      <c r="H91" s="158"/>
      <c r="I91" s="158"/>
      <c r="J91" s="158"/>
      <c r="K91" s="158"/>
      <c r="L91" s="158"/>
      <c r="M91" s="158"/>
      <c r="N91" s="148"/>
      <c r="O91" s="148"/>
      <c r="P91" s="148"/>
      <c r="Q91" s="148"/>
      <c r="R91" s="148"/>
      <c r="S91" s="148"/>
      <c r="T91" s="149"/>
      <c r="U91" s="148"/>
      <c r="V91" s="140"/>
      <c r="W91" s="140"/>
      <c r="X91" s="140"/>
      <c r="Y91" s="140"/>
      <c r="Z91" s="140"/>
      <c r="AA91" s="140"/>
      <c r="AB91" s="140"/>
      <c r="AC91" s="140"/>
      <c r="AD91" s="140"/>
      <c r="AE91" s="140" t="s">
        <v>130</v>
      </c>
      <c r="AF91" s="140">
        <v>0</v>
      </c>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0" outlineLevel="1" x14ac:dyDescent="0.25">
      <c r="A92" s="141">
        <v>27</v>
      </c>
      <c r="B92" s="141" t="s">
        <v>215</v>
      </c>
      <c r="C92" s="178" t="s">
        <v>216</v>
      </c>
      <c r="D92" s="147" t="s">
        <v>207</v>
      </c>
      <c r="E92" s="154">
        <v>1</v>
      </c>
      <c r="F92" s="157"/>
      <c r="G92" s="158">
        <f>ROUND(E92*F92,2)</f>
        <v>0</v>
      </c>
      <c r="H92" s="158"/>
      <c r="I92" s="158">
        <f>ROUND(E92*H92,2)</f>
        <v>0</v>
      </c>
      <c r="J92" s="158"/>
      <c r="K92" s="158">
        <f>ROUND(E92*J92,2)</f>
        <v>0</v>
      </c>
      <c r="L92" s="158">
        <v>21</v>
      </c>
      <c r="M92" s="158">
        <f>G92*(1+L92/100)</f>
        <v>0</v>
      </c>
      <c r="N92" s="148">
        <v>0</v>
      </c>
      <c r="O92" s="148">
        <f>ROUND(E92*N92,5)</f>
        <v>0</v>
      </c>
      <c r="P92" s="148">
        <v>0</v>
      </c>
      <c r="Q92" s="148">
        <f>ROUND(E92*P92,5)</f>
        <v>0</v>
      </c>
      <c r="R92" s="148"/>
      <c r="S92" s="148"/>
      <c r="T92" s="149">
        <v>0</v>
      </c>
      <c r="U92" s="148">
        <f>ROUND(E92*T92,2)</f>
        <v>0</v>
      </c>
      <c r="V92" s="140"/>
      <c r="W92" s="140"/>
      <c r="X92" s="140"/>
      <c r="Y92" s="140"/>
      <c r="Z92" s="140"/>
      <c r="AA92" s="140"/>
      <c r="AB92" s="140"/>
      <c r="AC92" s="140"/>
      <c r="AD92" s="140"/>
      <c r="AE92" s="140" t="s">
        <v>128</v>
      </c>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1" x14ac:dyDescent="0.25">
      <c r="A93" s="141"/>
      <c r="B93" s="141"/>
      <c r="C93" s="179" t="s">
        <v>52</v>
      </c>
      <c r="D93" s="150"/>
      <c r="E93" s="155">
        <v>1</v>
      </c>
      <c r="F93" s="158"/>
      <c r="G93" s="158"/>
      <c r="H93" s="158"/>
      <c r="I93" s="158"/>
      <c r="J93" s="158"/>
      <c r="K93" s="158"/>
      <c r="L93" s="158"/>
      <c r="M93" s="158"/>
      <c r="N93" s="148"/>
      <c r="O93" s="148"/>
      <c r="P93" s="148"/>
      <c r="Q93" s="148"/>
      <c r="R93" s="148"/>
      <c r="S93" s="148"/>
      <c r="T93" s="149"/>
      <c r="U93" s="148"/>
      <c r="V93" s="140"/>
      <c r="W93" s="140"/>
      <c r="X93" s="140"/>
      <c r="Y93" s="140"/>
      <c r="Z93" s="140"/>
      <c r="AA93" s="140"/>
      <c r="AB93" s="140"/>
      <c r="AC93" s="140"/>
      <c r="AD93" s="140"/>
      <c r="AE93" s="140" t="s">
        <v>130</v>
      </c>
      <c r="AF93" s="140">
        <v>0</v>
      </c>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x14ac:dyDescent="0.25">
      <c r="A94" s="142" t="s">
        <v>123</v>
      </c>
      <c r="B94" s="142" t="s">
        <v>66</v>
      </c>
      <c r="C94" s="180" t="s">
        <v>67</v>
      </c>
      <c r="D94" s="151"/>
      <c r="E94" s="156"/>
      <c r="F94" s="159"/>
      <c r="G94" s="159">
        <f>SUMIF(AE95:AE137,"&lt;&gt;NOR",G95:G137)</f>
        <v>0</v>
      </c>
      <c r="H94" s="159"/>
      <c r="I94" s="159">
        <f>SUM(I95:I137)</f>
        <v>0</v>
      </c>
      <c r="J94" s="159"/>
      <c r="K94" s="159">
        <f>SUM(K95:K137)</f>
        <v>0</v>
      </c>
      <c r="L94" s="159"/>
      <c r="M94" s="159">
        <f>SUM(M95:M137)</f>
        <v>0</v>
      </c>
      <c r="N94" s="152"/>
      <c r="O94" s="152">
        <f>SUM(O95:O137)</f>
        <v>0.47636000000000001</v>
      </c>
      <c r="P94" s="152"/>
      <c r="Q94" s="152">
        <f>SUM(Q95:Q137)</f>
        <v>52.413209999999992</v>
      </c>
      <c r="R94" s="152"/>
      <c r="S94" s="152"/>
      <c r="T94" s="153"/>
      <c r="U94" s="152">
        <f>SUM(U95:U137)</f>
        <v>445.82999999999987</v>
      </c>
      <c r="AE94" t="s">
        <v>124</v>
      </c>
    </row>
    <row r="95" spans="1:60" outlineLevel="1" x14ac:dyDescent="0.25">
      <c r="A95" s="141">
        <v>28</v>
      </c>
      <c r="B95" s="141" t="s">
        <v>217</v>
      </c>
      <c r="C95" s="178" t="s">
        <v>218</v>
      </c>
      <c r="D95" s="147" t="s">
        <v>139</v>
      </c>
      <c r="E95" s="154">
        <v>56.58</v>
      </c>
      <c r="F95" s="157"/>
      <c r="G95" s="158">
        <f>ROUND(E95*F95,2)</f>
        <v>0</v>
      </c>
      <c r="H95" s="158"/>
      <c r="I95" s="158">
        <f>ROUND(E95*H95,2)</f>
        <v>0</v>
      </c>
      <c r="J95" s="158"/>
      <c r="K95" s="158">
        <f>ROUND(E95*J95,2)</f>
        <v>0</v>
      </c>
      <c r="L95" s="158">
        <v>21</v>
      </c>
      <c r="M95" s="158">
        <f>G95*(1+L95/100)</f>
        <v>0</v>
      </c>
      <c r="N95" s="148">
        <v>6.7000000000000002E-4</v>
      </c>
      <c r="O95" s="148">
        <f>ROUND(E95*N95,5)</f>
        <v>3.7909999999999999E-2</v>
      </c>
      <c r="P95" s="148">
        <v>0.13400000000000001</v>
      </c>
      <c r="Q95" s="148">
        <f>ROUND(E95*P95,5)</f>
        <v>7.5817199999999998</v>
      </c>
      <c r="R95" s="148"/>
      <c r="S95" s="148"/>
      <c r="T95" s="149">
        <v>0.58018999999999998</v>
      </c>
      <c r="U95" s="148">
        <f>ROUND(E95*T95,2)</f>
        <v>32.83</v>
      </c>
      <c r="V95" s="140"/>
      <c r="W95" s="140"/>
      <c r="X95" s="140"/>
      <c r="Y95" s="140"/>
      <c r="Z95" s="140"/>
      <c r="AA95" s="140"/>
      <c r="AB95" s="140"/>
      <c r="AC95" s="140"/>
      <c r="AD95" s="140"/>
      <c r="AE95" s="140" t="s">
        <v>133</v>
      </c>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0" outlineLevel="1" x14ac:dyDescent="0.25">
      <c r="A96" s="141"/>
      <c r="B96" s="141"/>
      <c r="C96" s="179" t="s">
        <v>219</v>
      </c>
      <c r="D96" s="150"/>
      <c r="E96" s="155">
        <v>56.58</v>
      </c>
      <c r="F96" s="158"/>
      <c r="G96" s="158"/>
      <c r="H96" s="158"/>
      <c r="I96" s="158"/>
      <c r="J96" s="158"/>
      <c r="K96" s="158"/>
      <c r="L96" s="158"/>
      <c r="M96" s="158"/>
      <c r="N96" s="148"/>
      <c r="O96" s="148"/>
      <c r="P96" s="148"/>
      <c r="Q96" s="148"/>
      <c r="R96" s="148"/>
      <c r="S96" s="148"/>
      <c r="T96" s="149"/>
      <c r="U96" s="148"/>
      <c r="V96" s="140"/>
      <c r="W96" s="140"/>
      <c r="X96" s="140"/>
      <c r="Y96" s="140"/>
      <c r="Z96" s="140"/>
      <c r="AA96" s="140"/>
      <c r="AB96" s="140"/>
      <c r="AC96" s="140"/>
      <c r="AD96" s="140"/>
      <c r="AE96" s="140" t="s">
        <v>130</v>
      </c>
      <c r="AF96" s="140">
        <v>0</v>
      </c>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x14ac:dyDescent="0.25">
      <c r="A97" s="141">
        <v>29</v>
      </c>
      <c r="B97" s="141" t="s">
        <v>220</v>
      </c>
      <c r="C97" s="178" t="s">
        <v>221</v>
      </c>
      <c r="D97" s="147" t="s">
        <v>139</v>
      </c>
      <c r="E97" s="154">
        <v>91.856250000000003</v>
      </c>
      <c r="F97" s="157"/>
      <c r="G97" s="158">
        <f>ROUND(E97*F97,2)</f>
        <v>0</v>
      </c>
      <c r="H97" s="158"/>
      <c r="I97" s="158">
        <f>ROUND(E97*H97,2)</f>
        <v>0</v>
      </c>
      <c r="J97" s="158"/>
      <c r="K97" s="158">
        <f>ROUND(E97*J97,2)</f>
        <v>0</v>
      </c>
      <c r="L97" s="158">
        <v>21</v>
      </c>
      <c r="M97" s="158">
        <f>G97*(1+L97/100)</f>
        <v>0</v>
      </c>
      <c r="N97" s="148">
        <v>6.7000000000000002E-4</v>
      </c>
      <c r="O97" s="148">
        <f>ROUND(E97*N97,5)</f>
        <v>6.1539999999999997E-2</v>
      </c>
      <c r="P97" s="148">
        <v>0.20399999999999999</v>
      </c>
      <c r="Q97" s="148">
        <f>ROUND(E97*P97,5)</f>
        <v>18.738679999999999</v>
      </c>
      <c r="R97" s="148"/>
      <c r="S97" s="148"/>
      <c r="T97" s="149">
        <v>0.82213999999999998</v>
      </c>
      <c r="U97" s="148">
        <f>ROUND(E97*T97,2)</f>
        <v>75.52</v>
      </c>
      <c r="V97" s="140"/>
      <c r="W97" s="140"/>
      <c r="X97" s="140"/>
      <c r="Y97" s="140"/>
      <c r="Z97" s="140"/>
      <c r="AA97" s="140"/>
      <c r="AB97" s="140"/>
      <c r="AC97" s="140"/>
      <c r="AD97" s="140"/>
      <c r="AE97" s="140" t="s">
        <v>133</v>
      </c>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1" x14ac:dyDescent="0.25">
      <c r="A98" s="141"/>
      <c r="B98" s="141"/>
      <c r="C98" s="179" t="s">
        <v>222</v>
      </c>
      <c r="D98" s="150"/>
      <c r="E98" s="155">
        <v>91.856250000000003</v>
      </c>
      <c r="F98" s="158"/>
      <c r="G98" s="158"/>
      <c r="H98" s="158"/>
      <c r="I98" s="158"/>
      <c r="J98" s="158"/>
      <c r="K98" s="158"/>
      <c r="L98" s="158"/>
      <c r="M98" s="158"/>
      <c r="N98" s="148"/>
      <c r="O98" s="148"/>
      <c r="P98" s="148"/>
      <c r="Q98" s="148"/>
      <c r="R98" s="148"/>
      <c r="S98" s="148"/>
      <c r="T98" s="149"/>
      <c r="U98" s="148"/>
      <c r="V98" s="140"/>
      <c r="W98" s="140"/>
      <c r="X98" s="140"/>
      <c r="Y98" s="140"/>
      <c r="Z98" s="140"/>
      <c r="AA98" s="140"/>
      <c r="AB98" s="140"/>
      <c r="AC98" s="140"/>
      <c r="AD98" s="140"/>
      <c r="AE98" s="140" t="s">
        <v>130</v>
      </c>
      <c r="AF98" s="140">
        <v>0</v>
      </c>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1" x14ac:dyDescent="0.25">
      <c r="A99" s="141">
        <v>30</v>
      </c>
      <c r="B99" s="141" t="s">
        <v>223</v>
      </c>
      <c r="C99" s="178" t="s">
        <v>224</v>
      </c>
      <c r="D99" s="147" t="s">
        <v>127</v>
      </c>
      <c r="E99" s="154">
        <v>2.3167657500000001</v>
      </c>
      <c r="F99" s="157"/>
      <c r="G99" s="158">
        <f>ROUND(E99*F99,2)</f>
        <v>0</v>
      </c>
      <c r="H99" s="158"/>
      <c r="I99" s="158">
        <f>ROUND(E99*H99,2)</f>
        <v>0</v>
      </c>
      <c r="J99" s="158"/>
      <c r="K99" s="158">
        <f>ROUND(E99*J99,2)</f>
        <v>0</v>
      </c>
      <c r="L99" s="158">
        <v>21</v>
      </c>
      <c r="M99" s="158">
        <f>G99*(1+L99/100)</f>
        <v>0</v>
      </c>
      <c r="N99" s="148">
        <v>0</v>
      </c>
      <c r="O99" s="148">
        <f>ROUND(E99*N99,5)</f>
        <v>0</v>
      </c>
      <c r="P99" s="148">
        <v>2.2000000000000002</v>
      </c>
      <c r="Q99" s="148">
        <f>ROUND(E99*P99,5)</f>
        <v>5.0968799999999996</v>
      </c>
      <c r="R99" s="148"/>
      <c r="S99" s="148"/>
      <c r="T99" s="149">
        <v>18.870999999999999</v>
      </c>
      <c r="U99" s="148">
        <f>ROUND(E99*T99,2)</f>
        <v>43.72</v>
      </c>
      <c r="V99" s="140"/>
      <c r="W99" s="140"/>
      <c r="X99" s="140"/>
      <c r="Y99" s="140"/>
      <c r="Z99" s="140"/>
      <c r="AA99" s="140"/>
      <c r="AB99" s="140"/>
      <c r="AC99" s="140"/>
      <c r="AD99" s="140"/>
      <c r="AE99" s="140" t="s">
        <v>133</v>
      </c>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0" outlineLevel="1" x14ac:dyDescent="0.25">
      <c r="A100" s="141"/>
      <c r="B100" s="141"/>
      <c r="C100" s="179" t="s">
        <v>225</v>
      </c>
      <c r="D100" s="150"/>
      <c r="E100" s="155">
        <v>0.44817825</v>
      </c>
      <c r="F100" s="158"/>
      <c r="G100" s="158"/>
      <c r="H100" s="158"/>
      <c r="I100" s="158"/>
      <c r="J100" s="158"/>
      <c r="K100" s="158"/>
      <c r="L100" s="158"/>
      <c r="M100" s="158"/>
      <c r="N100" s="148"/>
      <c r="O100" s="148"/>
      <c r="P100" s="148"/>
      <c r="Q100" s="148"/>
      <c r="R100" s="148"/>
      <c r="S100" s="148"/>
      <c r="T100" s="149"/>
      <c r="U100" s="148"/>
      <c r="V100" s="140"/>
      <c r="W100" s="140"/>
      <c r="X100" s="140"/>
      <c r="Y100" s="140"/>
      <c r="Z100" s="140"/>
      <c r="AA100" s="140"/>
      <c r="AB100" s="140"/>
      <c r="AC100" s="140"/>
      <c r="AD100" s="140"/>
      <c r="AE100" s="140" t="s">
        <v>130</v>
      </c>
      <c r="AF100" s="140">
        <v>0</v>
      </c>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x14ac:dyDescent="0.25">
      <c r="A101" s="141"/>
      <c r="B101" s="141"/>
      <c r="C101" s="179" t="s">
        <v>226</v>
      </c>
      <c r="D101" s="150"/>
      <c r="E101" s="155">
        <v>1.301625</v>
      </c>
      <c r="F101" s="158"/>
      <c r="G101" s="158"/>
      <c r="H101" s="158"/>
      <c r="I101" s="158"/>
      <c r="J101" s="158"/>
      <c r="K101" s="158"/>
      <c r="L101" s="158"/>
      <c r="M101" s="158"/>
      <c r="N101" s="148"/>
      <c r="O101" s="148"/>
      <c r="P101" s="148"/>
      <c r="Q101" s="148"/>
      <c r="R101" s="148"/>
      <c r="S101" s="148"/>
      <c r="T101" s="149"/>
      <c r="U101" s="148"/>
      <c r="V101" s="140"/>
      <c r="W101" s="140"/>
      <c r="X101" s="140"/>
      <c r="Y101" s="140"/>
      <c r="Z101" s="140"/>
      <c r="AA101" s="140"/>
      <c r="AB101" s="140"/>
      <c r="AC101" s="140"/>
      <c r="AD101" s="140"/>
      <c r="AE101" s="140" t="s">
        <v>130</v>
      </c>
      <c r="AF101" s="140">
        <v>0</v>
      </c>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1" x14ac:dyDescent="0.25">
      <c r="A102" s="141"/>
      <c r="B102" s="141"/>
      <c r="C102" s="179" t="s">
        <v>227</v>
      </c>
      <c r="D102" s="150"/>
      <c r="E102" s="155">
        <v>0.56696250000000004</v>
      </c>
      <c r="F102" s="158"/>
      <c r="G102" s="158"/>
      <c r="H102" s="158"/>
      <c r="I102" s="158"/>
      <c r="J102" s="158"/>
      <c r="K102" s="158"/>
      <c r="L102" s="158"/>
      <c r="M102" s="158"/>
      <c r="N102" s="148"/>
      <c r="O102" s="148"/>
      <c r="P102" s="148"/>
      <c r="Q102" s="148"/>
      <c r="R102" s="148"/>
      <c r="S102" s="148"/>
      <c r="T102" s="149"/>
      <c r="U102" s="148"/>
      <c r="V102" s="140"/>
      <c r="W102" s="140"/>
      <c r="X102" s="140"/>
      <c r="Y102" s="140"/>
      <c r="Z102" s="140"/>
      <c r="AA102" s="140"/>
      <c r="AB102" s="140"/>
      <c r="AC102" s="140"/>
      <c r="AD102" s="140"/>
      <c r="AE102" s="140" t="s">
        <v>130</v>
      </c>
      <c r="AF102" s="140">
        <v>0</v>
      </c>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x14ac:dyDescent="0.25">
      <c r="A103" s="141">
        <v>31</v>
      </c>
      <c r="B103" s="141" t="s">
        <v>228</v>
      </c>
      <c r="C103" s="178" t="s">
        <v>229</v>
      </c>
      <c r="D103" s="147" t="s">
        <v>139</v>
      </c>
      <c r="E103" s="154">
        <v>103.0125</v>
      </c>
      <c r="F103" s="157"/>
      <c r="G103" s="158">
        <f>ROUND(E103*F103,2)</f>
        <v>0</v>
      </c>
      <c r="H103" s="158"/>
      <c r="I103" s="158">
        <f>ROUND(E103*H103,2)</f>
        <v>0</v>
      </c>
      <c r="J103" s="158"/>
      <c r="K103" s="158">
        <f>ROUND(E103*J103,2)</f>
        <v>0</v>
      </c>
      <c r="L103" s="158">
        <v>21</v>
      </c>
      <c r="M103" s="158">
        <f>G103*(1+L103/100)</f>
        <v>0</v>
      </c>
      <c r="N103" s="148">
        <v>0</v>
      </c>
      <c r="O103" s="148">
        <f>ROUND(E103*N103,5)</f>
        <v>0</v>
      </c>
      <c r="P103" s="148">
        <v>8.6999999999999994E-2</v>
      </c>
      <c r="Q103" s="148">
        <f>ROUND(E103*P103,5)</f>
        <v>8.9620899999999999</v>
      </c>
      <c r="R103" s="148"/>
      <c r="S103" s="148"/>
      <c r="T103" s="149">
        <v>0.50129000000000001</v>
      </c>
      <c r="U103" s="148">
        <f>ROUND(E103*T103,2)</f>
        <v>51.64</v>
      </c>
      <c r="V103" s="140"/>
      <c r="W103" s="140"/>
      <c r="X103" s="140"/>
      <c r="Y103" s="140"/>
      <c r="Z103" s="140"/>
      <c r="AA103" s="140"/>
      <c r="AB103" s="140"/>
      <c r="AC103" s="140"/>
      <c r="AD103" s="140"/>
      <c r="AE103" s="140" t="s">
        <v>133</v>
      </c>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1" x14ac:dyDescent="0.25">
      <c r="A104" s="141"/>
      <c r="B104" s="141"/>
      <c r="C104" s="179" t="s">
        <v>230</v>
      </c>
      <c r="D104" s="150"/>
      <c r="E104" s="155">
        <v>95.8125</v>
      </c>
      <c r="F104" s="158"/>
      <c r="G104" s="158"/>
      <c r="H104" s="158"/>
      <c r="I104" s="158"/>
      <c r="J104" s="158"/>
      <c r="K104" s="158"/>
      <c r="L104" s="158"/>
      <c r="M104" s="158"/>
      <c r="N104" s="148"/>
      <c r="O104" s="148"/>
      <c r="P104" s="148"/>
      <c r="Q104" s="148"/>
      <c r="R104" s="148"/>
      <c r="S104" s="148"/>
      <c r="T104" s="149"/>
      <c r="U104" s="148"/>
      <c r="V104" s="140"/>
      <c r="W104" s="140"/>
      <c r="X104" s="140"/>
      <c r="Y104" s="140"/>
      <c r="Z104" s="140"/>
      <c r="AA104" s="140"/>
      <c r="AB104" s="140"/>
      <c r="AC104" s="140"/>
      <c r="AD104" s="140"/>
      <c r="AE104" s="140" t="s">
        <v>130</v>
      </c>
      <c r="AF104" s="140">
        <v>0</v>
      </c>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x14ac:dyDescent="0.25">
      <c r="A105" s="141"/>
      <c r="B105" s="141"/>
      <c r="C105" s="179" t="s">
        <v>231</v>
      </c>
      <c r="D105" s="150"/>
      <c r="E105" s="155">
        <v>7.2</v>
      </c>
      <c r="F105" s="158"/>
      <c r="G105" s="158"/>
      <c r="H105" s="158"/>
      <c r="I105" s="158"/>
      <c r="J105" s="158"/>
      <c r="K105" s="158"/>
      <c r="L105" s="158"/>
      <c r="M105" s="158"/>
      <c r="N105" s="148"/>
      <c r="O105" s="148"/>
      <c r="P105" s="148"/>
      <c r="Q105" s="148"/>
      <c r="R105" s="148"/>
      <c r="S105" s="148"/>
      <c r="T105" s="149"/>
      <c r="U105" s="148"/>
      <c r="V105" s="140"/>
      <c r="W105" s="140"/>
      <c r="X105" s="140"/>
      <c r="Y105" s="140"/>
      <c r="Z105" s="140"/>
      <c r="AA105" s="140"/>
      <c r="AB105" s="140"/>
      <c r="AC105" s="140"/>
      <c r="AD105" s="140"/>
      <c r="AE105" s="140" t="s">
        <v>130</v>
      </c>
      <c r="AF105" s="140">
        <v>0</v>
      </c>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x14ac:dyDescent="0.25">
      <c r="A106" s="141">
        <v>32</v>
      </c>
      <c r="B106" s="141" t="s">
        <v>232</v>
      </c>
      <c r="C106" s="178" t="s">
        <v>233</v>
      </c>
      <c r="D106" s="147" t="s">
        <v>139</v>
      </c>
      <c r="E106" s="154">
        <v>155.33000000000001</v>
      </c>
      <c r="F106" s="157"/>
      <c r="G106" s="158">
        <f>ROUND(E106*F106,2)</f>
        <v>0</v>
      </c>
      <c r="H106" s="158"/>
      <c r="I106" s="158">
        <f>ROUND(E106*H106,2)</f>
        <v>0</v>
      </c>
      <c r="J106" s="158"/>
      <c r="K106" s="158">
        <f>ROUND(E106*J106,2)</f>
        <v>0</v>
      </c>
      <c r="L106" s="158">
        <v>21</v>
      </c>
      <c r="M106" s="158">
        <f>G106*(1+L106/100)</f>
        <v>0</v>
      </c>
      <c r="N106" s="148">
        <v>0</v>
      </c>
      <c r="O106" s="148">
        <f>ROUND(E106*N106,5)</f>
        <v>0</v>
      </c>
      <c r="P106" s="148">
        <v>6.8000000000000005E-2</v>
      </c>
      <c r="Q106" s="148">
        <f>ROUND(E106*P106,5)</f>
        <v>10.56244</v>
      </c>
      <c r="R106" s="148"/>
      <c r="S106" s="148"/>
      <c r="T106" s="149">
        <v>0.66937999999999998</v>
      </c>
      <c r="U106" s="148">
        <f>ROUND(E106*T106,2)</f>
        <v>103.97</v>
      </c>
      <c r="V106" s="140"/>
      <c r="W106" s="140"/>
      <c r="X106" s="140"/>
      <c r="Y106" s="140"/>
      <c r="Z106" s="140"/>
      <c r="AA106" s="140"/>
      <c r="AB106" s="140"/>
      <c r="AC106" s="140"/>
      <c r="AD106" s="140"/>
      <c r="AE106" s="140" t="s">
        <v>133</v>
      </c>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x14ac:dyDescent="0.25">
      <c r="A107" s="141"/>
      <c r="B107" s="141"/>
      <c r="C107" s="179" t="s">
        <v>234</v>
      </c>
      <c r="D107" s="150"/>
      <c r="E107" s="155">
        <v>97.03</v>
      </c>
      <c r="F107" s="158"/>
      <c r="G107" s="158"/>
      <c r="H107" s="158"/>
      <c r="I107" s="158"/>
      <c r="J107" s="158"/>
      <c r="K107" s="158"/>
      <c r="L107" s="158"/>
      <c r="M107" s="158"/>
      <c r="N107" s="148"/>
      <c r="O107" s="148"/>
      <c r="P107" s="148"/>
      <c r="Q107" s="148"/>
      <c r="R107" s="148"/>
      <c r="S107" s="148"/>
      <c r="T107" s="149"/>
      <c r="U107" s="148"/>
      <c r="V107" s="140"/>
      <c r="W107" s="140"/>
      <c r="X107" s="140"/>
      <c r="Y107" s="140"/>
      <c r="Z107" s="140"/>
      <c r="AA107" s="140"/>
      <c r="AB107" s="140"/>
      <c r="AC107" s="140"/>
      <c r="AD107" s="140"/>
      <c r="AE107" s="140" t="s">
        <v>130</v>
      </c>
      <c r="AF107" s="140">
        <v>0</v>
      </c>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1" x14ac:dyDescent="0.25">
      <c r="A108" s="141"/>
      <c r="B108" s="141"/>
      <c r="C108" s="179" t="s">
        <v>235</v>
      </c>
      <c r="D108" s="150"/>
      <c r="E108" s="155">
        <v>58.3</v>
      </c>
      <c r="F108" s="158"/>
      <c r="G108" s="158"/>
      <c r="H108" s="158"/>
      <c r="I108" s="158"/>
      <c r="J108" s="158"/>
      <c r="K108" s="158"/>
      <c r="L108" s="158"/>
      <c r="M108" s="158"/>
      <c r="N108" s="148"/>
      <c r="O108" s="148"/>
      <c r="P108" s="148"/>
      <c r="Q108" s="148"/>
      <c r="R108" s="148"/>
      <c r="S108" s="148"/>
      <c r="T108" s="149"/>
      <c r="U108" s="148"/>
      <c r="V108" s="140"/>
      <c r="W108" s="140"/>
      <c r="X108" s="140"/>
      <c r="Y108" s="140"/>
      <c r="Z108" s="140"/>
      <c r="AA108" s="140"/>
      <c r="AB108" s="140"/>
      <c r="AC108" s="140"/>
      <c r="AD108" s="140"/>
      <c r="AE108" s="140" t="s">
        <v>130</v>
      </c>
      <c r="AF108" s="140">
        <v>0</v>
      </c>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1" x14ac:dyDescent="0.25">
      <c r="A109" s="141">
        <v>33</v>
      </c>
      <c r="B109" s="141" t="s">
        <v>236</v>
      </c>
      <c r="C109" s="178" t="s">
        <v>237</v>
      </c>
      <c r="D109" s="147" t="s">
        <v>203</v>
      </c>
      <c r="E109" s="154">
        <v>2.1</v>
      </c>
      <c r="F109" s="157"/>
      <c r="G109" s="158">
        <f>ROUND(E109*F109,2)</f>
        <v>0</v>
      </c>
      <c r="H109" s="158"/>
      <c r="I109" s="158">
        <f>ROUND(E109*H109,2)</f>
        <v>0</v>
      </c>
      <c r="J109" s="158"/>
      <c r="K109" s="158">
        <f>ROUND(E109*J109,2)</f>
        <v>0</v>
      </c>
      <c r="L109" s="158">
        <v>21</v>
      </c>
      <c r="M109" s="158">
        <f>G109*(1+L109/100)</f>
        <v>0</v>
      </c>
      <c r="N109" s="148">
        <v>2.0999999999999999E-3</v>
      </c>
      <c r="O109" s="148">
        <f>ROUND(E109*N109,5)</f>
        <v>4.4099999999999999E-3</v>
      </c>
      <c r="P109" s="148">
        <v>4.8230000000000002E-2</v>
      </c>
      <c r="Q109" s="148">
        <f>ROUND(E109*P109,5)</f>
        <v>0.10128</v>
      </c>
      <c r="R109" s="148"/>
      <c r="S109" s="148"/>
      <c r="T109" s="149">
        <v>4.2</v>
      </c>
      <c r="U109" s="148">
        <f>ROUND(E109*T109,2)</f>
        <v>8.82</v>
      </c>
      <c r="V109" s="140"/>
      <c r="W109" s="140"/>
      <c r="X109" s="140"/>
      <c r="Y109" s="140"/>
      <c r="Z109" s="140"/>
      <c r="AA109" s="140"/>
      <c r="AB109" s="140"/>
      <c r="AC109" s="140"/>
      <c r="AD109" s="140"/>
      <c r="AE109" s="140" t="s">
        <v>128</v>
      </c>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x14ac:dyDescent="0.25">
      <c r="A110" s="141"/>
      <c r="B110" s="141"/>
      <c r="C110" s="179" t="s">
        <v>238</v>
      </c>
      <c r="D110" s="150"/>
      <c r="E110" s="155">
        <v>2.1</v>
      </c>
      <c r="F110" s="158"/>
      <c r="G110" s="158"/>
      <c r="H110" s="158"/>
      <c r="I110" s="158"/>
      <c r="J110" s="158"/>
      <c r="K110" s="158"/>
      <c r="L110" s="158"/>
      <c r="M110" s="158"/>
      <c r="N110" s="148"/>
      <c r="O110" s="148"/>
      <c r="P110" s="148"/>
      <c r="Q110" s="148"/>
      <c r="R110" s="148"/>
      <c r="S110" s="148"/>
      <c r="T110" s="149"/>
      <c r="U110" s="148"/>
      <c r="V110" s="140"/>
      <c r="W110" s="140"/>
      <c r="X110" s="140"/>
      <c r="Y110" s="140"/>
      <c r="Z110" s="140"/>
      <c r="AA110" s="140"/>
      <c r="AB110" s="140"/>
      <c r="AC110" s="140"/>
      <c r="AD110" s="140"/>
      <c r="AE110" s="140" t="s">
        <v>130</v>
      </c>
      <c r="AF110" s="140">
        <v>0</v>
      </c>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x14ac:dyDescent="0.25">
      <c r="A111" s="141">
        <v>34</v>
      </c>
      <c r="B111" s="141" t="s">
        <v>239</v>
      </c>
      <c r="C111" s="178" t="s">
        <v>240</v>
      </c>
      <c r="D111" s="147" t="s">
        <v>136</v>
      </c>
      <c r="E111" s="154">
        <v>1</v>
      </c>
      <c r="F111" s="157"/>
      <c r="G111" s="158">
        <f>ROUND(E111*F111,2)</f>
        <v>0</v>
      </c>
      <c r="H111" s="158"/>
      <c r="I111" s="158">
        <f>ROUND(E111*H111,2)</f>
        <v>0</v>
      </c>
      <c r="J111" s="158"/>
      <c r="K111" s="158">
        <f>ROUND(E111*J111,2)</f>
        <v>0</v>
      </c>
      <c r="L111" s="158">
        <v>21</v>
      </c>
      <c r="M111" s="158">
        <f>G111*(1+L111/100)</f>
        <v>0</v>
      </c>
      <c r="N111" s="148">
        <v>3.4000000000000002E-4</v>
      </c>
      <c r="O111" s="148">
        <f>ROUND(E111*N111,5)</f>
        <v>3.4000000000000002E-4</v>
      </c>
      <c r="P111" s="148">
        <v>2.5000000000000001E-2</v>
      </c>
      <c r="Q111" s="148">
        <f>ROUND(E111*P111,5)</f>
        <v>2.5000000000000001E-2</v>
      </c>
      <c r="R111" s="148"/>
      <c r="S111" s="148"/>
      <c r="T111" s="149">
        <v>0.21299999999999999</v>
      </c>
      <c r="U111" s="148">
        <f>ROUND(E111*T111,2)</f>
        <v>0.21</v>
      </c>
      <c r="V111" s="140"/>
      <c r="W111" s="140"/>
      <c r="X111" s="140"/>
      <c r="Y111" s="140"/>
      <c r="Z111" s="140"/>
      <c r="AA111" s="140"/>
      <c r="AB111" s="140"/>
      <c r="AC111" s="140"/>
      <c r="AD111" s="140"/>
      <c r="AE111" s="140" t="s">
        <v>128</v>
      </c>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x14ac:dyDescent="0.25">
      <c r="A112" s="141"/>
      <c r="B112" s="141"/>
      <c r="C112" s="179" t="s">
        <v>52</v>
      </c>
      <c r="D112" s="150"/>
      <c r="E112" s="155">
        <v>1</v>
      </c>
      <c r="F112" s="158"/>
      <c r="G112" s="158"/>
      <c r="H112" s="158"/>
      <c r="I112" s="158"/>
      <c r="J112" s="158"/>
      <c r="K112" s="158"/>
      <c r="L112" s="158"/>
      <c r="M112" s="158"/>
      <c r="N112" s="148"/>
      <c r="O112" s="148"/>
      <c r="P112" s="148"/>
      <c r="Q112" s="148"/>
      <c r="R112" s="148"/>
      <c r="S112" s="148"/>
      <c r="T112" s="149"/>
      <c r="U112" s="148"/>
      <c r="V112" s="140"/>
      <c r="W112" s="140"/>
      <c r="X112" s="140"/>
      <c r="Y112" s="140"/>
      <c r="Z112" s="140"/>
      <c r="AA112" s="140"/>
      <c r="AB112" s="140"/>
      <c r="AC112" s="140"/>
      <c r="AD112" s="140"/>
      <c r="AE112" s="140" t="s">
        <v>130</v>
      </c>
      <c r="AF112" s="140">
        <v>0</v>
      </c>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1" x14ac:dyDescent="0.25">
      <c r="A113" s="141">
        <v>35</v>
      </c>
      <c r="B113" s="141" t="s">
        <v>241</v>
      </c>
      <c r="C113" s="178" t="s">
        <v>242</v>
      </c>
      <c r="D113" s="147" t="s">
        <v>139</v>
      </c>
      <c r="E113" s="154">
        <v>141.39875000000001</v>
      </c>
      <c r="F113" s="157"/>
      <c r="G113" s="158">
        <f>ROUND(E113*F113,2)</f>
        <v>0</v>
      </c>
      <c r="H113" s="158"/>
      <c r="I113" s="158">
        <f>ROUND(E113*H113,2)</f>
        <v>0</v>
      </c>
      <c r="J113" s="158"/>
      <c r="K113" s="158">
        <f>ROUND(E113*J113,2)</f>
        <v>0</v>
      </c>
      <c r="L113" s="158">
        <v>21</v>
      </c>
      <c r="M113" s="158">
        <f>G113*(1+L113/100)</f>
        <v>0</v>
      </c>
      <c r="N113" s="148">
        <v>2.5100000000000001E-3</v>
      </c>
      <c r="O113" s="148">
        <f>ROUND(E113*N113,5)</f>
        <v>0.35491</v>
      </c>
      <c r="P113" s="148">
        <v>0</v>
      </c>
      <c r="Q113" s="148">
        <f>ROUND(E113*P113,5)</f>
        <v>0</v>
      </c>
      <c r="R113" s="148"/>
      <c r="S113" s="148"/>
      <c r="T113" s="149">
        <v>0.30099999999999999</v>
      </c>
      <c r="U113" s="148">
        <f>ROUND(E113*T113,2)</f>
        <v>42.56</v>
      </c>
      <c r="V113" s="140"/>
      <c r="W113" s="140"/>
      <c r="X113" s="140"/>
      <c r="Y113" s="140"/>
      <c r="Z113" s="140"/>
      <c r="AA113" s="140"/>
      <c r="AB113" s="140"/>
      <c r="AC113" s="140"/>
      <c r="AD113" s="140"/>
      <c r="AE113" s="140" t="s">
        <v>128</v>
      </c>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x14ac:dyDescent="0.25">
      <c r="A114" s="141"/>
      <c r="B114" s="141"/>
      <c r="C114" s="179" t="s">
        <v>243</v>
      </c>
      <c r="D114" s="150"/>
      <c r="E114" s="155">
        <v>141.39875000000001</v>
      </c>
      <c r="F114" s="158"/>
      <c r="G114" s="158"/>
      <c r="H114" s="158"/>
      <c r="I114" s="158"/>
      <c r="J114" s="158"/>
      <c r="K114" s="158"/>
      <c r="L114" s="158"/>
      <c r="M114" s="158"/>
      <c r="N114" s="148"/>
      <c r="O114" s="148"/>
      <c r="P114" s="148"/>
      <c r="Q114" s="148"/>
      <c r="R114" s="148"/>
      <c r="S114" s="148"/>
      <c r="T114" s="149"/>
      <c r="U114" s="148"/>
      <c r="V114" s="140"/>
      <c r="W114" s="140"/>
      <c r="X114" s="140"/>
      <c r="Y114" s="140"/>
      <c r="Z114" s="140"/>
      <c r="AA114" s="140"/>
      <c r="AB114" s="140"/>
      <c r="AC114" s="140"/>
      <c r="AD114" s="140"/>
      <c r="AE114" s="140" t="s">
        <v>130</v>
      </c>
      <c r="AF114" s="140">
        <v>0</v>
      </c>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x14ac:dyDescent="0.25">
      <c r="A115" s="141">
        <v>36</v>
      </c>
      <c r="B115" s="141" t="s">
        <v>244</v>
      </c>
      <c r="C115" s="178" t="s">
        <v>245</v>
      </c>
      <c r="D115" s="147" t="s">
        <v>139</v>
      </c>
      <c r="E115" s="154">
        <v>38.386249999999997</v>
      </c>
      <c r="F115" s="157"/>
      <c r="G115" s="158">
        <f>ROUND(E115*F115,2)</f>
        <v>0</v>
      </c>
      <c r="H115" s="158"/>
      <c r="I115" s="158">
        <f>ROUND(E115*H115,2)</f>
        <v>0</v>
      </c>
      <c r="J115" s="158"/>
      <c r="K115" s="158">
        <f>ROUND(E115*J115,2)</f>
        <v>0</v>
      </c>
      <c r="L115" s="158">
        <v>21</v>
      </c>
      <c r="M115" s="158">
        <f>G115*(1+L115/100)</f>
        <v>0</v>
      </c>
      <c r="N115" s="148">
        <v>0</v>
      </c>
      <c r="O115" s="148">
        <f>ROUND(E115*N115,5)</f>
        <v>0</v>
      </c>
      <c r="P115" s="148">
        <v>3.5000000000000001E-3</v>
      </c>
      <c r="Q115" s="148">
        <f>ROUND(E115*P115,5)</f>
        <v>0.13435</v>
      </c>
      <c r="R115" s="148"/>
      <c r="S115" s="148"/>
      <c r="T115" s="149">
        <v>0.29143000000000002</v>
      </c>
      <c r="U115" s="148">
        <f>ROUND(E115*T115,2)</f>
        <v>11.19</v>
      </c>
      <c r="V115" s="140"/>
      <c r="W115" s="140"/>
      <c r="X115" s="140"/>
      <c r="Y115" s="140"/>
      <c r="Z115" s="140"/>
      <c r="AA115" s="140"/>
      <c r="AB115" s="140"/>
      <c r="AC115" s="140"/>
      <c r="AD115" s="140"/>
      <c r="AE115" s="140" t="s">
        <v>133</v>
      </c>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x14ac:dyDescent="0.25">
      <c r="A116" s="141"/>
      <c r="B116" s="141"/>
      <c r="C116" s="179" t="s">
        <v>246</v>
      </c>
      <c r="D116" s="150"/>
      <c r="E116" s="155">
        <v>10.522500000000001</v>
      </c>
      <c r="F116" s="158"/>
      <c r="G116" s="158"/>
      <c r="H116" s="158"/>
      <c r="I116" s="158"/>
      <c r="J116" s="158"/>
      <c r="K116" s="158"/>
      <c r="L116" s="158"/>
      <c r="M116" s="158"/>
      <c r="N116" s="148"/>
      <c r="O116" s="148"/>
      <c r="P116" s="148"/>
      <c r="Q116" s="148"/>
      <c r="R116" s="148"/>
      <c r="S116" s="148"/>
      <c r="T116" s="149"/>
      <c r="U116" s="148"/>
      <c r="V116" s="140"/>
      <c r="W116" s="140"/>
      <c r="X116" s="140"/>
      <c r="Y116" s="140"/>
      <c r="Z116" s="140"/>
      <c r="AA116" s="140"/>
      <c r="AB116" s="140"/>
      <c r="AC116" s="140"/>
      <c r="AD116" s="140"/>
      <c r="AE116" s="140" t="s">
        <v>130</v>
      </c>
      <c r="AF116" s="140">
        <v>0</v>
      </c>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1" x14ac:dyDescent="0.25">
      <c r="A117" s="141"/>
      <c r="B117" s="141"/>
      <c r="C117" s="179" t="s">
        <v>247</v>
      </c>
      <c r="D117" s="150"/>
      <c r="E117" s="155">
        <v>27.86375</v>
      </c>
      <c r="F117" s="158"/>
      <c r="G117" s="158"/>
      <c r="H117" s="158"/>
      <c r="I117" s="158"/>
      <c r="J117" s="158"/>
      <c r="K117" s="158"/>
      <c r="L117" s="158"/>
      <c r="M117" s="158"/>
      <c r="N117" s="148"/>
      <c r="O117" s="148"/>
      <c r="P117" s="148"/>
      <c r="Q117" s="148"/>
      <c r="R117" s="148"/>
      <c r="S117" s="148"/>
      <c r="T117" s="149"/>
      <c r="U117" s="148"/>
      <c r="V117" s="140"/>
      <c r="W117" s="140"/>
      <c r="X117" s="140"/>
      <c r="Y117" s="140"/>
      <c r="Z117" s="140"/>
      <c r="AA117" s="140"/>
      <c r="AB117" s="140"/>
      <c r="AC117" s="140"/>
      <c r="AD117" s="140"/>
      <c r="AE117" s="140" t="s">
        <v>130</v>
      </c>
      <c r="AF117" s="140">
        <v>0</v>
      </c>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x14ac:dyDescent="0.25">
      <c r="A118" s="141">
        <v>37</v>
      </c>
      <c r="B118" s="141" t="s">
        <v>248</v>
      </c>
      <c r="C118" s="178" t="s">
        <v>249</v>
      </c>
      <c r="D118" s="147" t="s">
        <v>203</v>
      </c>
      <c r="E118" s="154">
        <v>103.005</v>
      </c>
      <c r="F118" s="157"/>
      <c r="G118" s="158">
        <f>ROUND(E118*F118,2)</f>
        <v>0</v>
      </c>
      <c r="H118" s="158"/>
      <c r="I118" s="158">
        <f>ROUND(E118*H118,2)</f>
        <v>0</v>
      </c>
      <c r="J118" s="158"/>
      <c r="K118" s="158">
        <f>ROUND(E118*J118,2)</f>
        <v>0</v>
      </c>
      <c r="L118" s="158">
        <v>21</v>
      </c>
      <c r="M118" s="158">
        <f>G118*(1+L118/100)</f>
        <v>0</v>
      </c>
      <c r="N118" s="148">
        <v>0</v>
      </c>
      <c r="O118" s="148">
        <f>ROUND(E118*N118,5)</f>
        <v>0</v>
      </c>
      <c r="P118" s="148">
        <v>0</v>
      </c>
      <c r="Q118" s="148">
        <f>ROUND(E118*P118,5)</f>
        <v>0</v>
      </c>
      <c r="R118" s="148"/>
      <c r="S118" s="148"/>
      <c r="T118" s="149">
        <v>0.11</v>
      </c>
      <c r="U118" s="148">
        <f>ROUND(E118*T118,2)</f>
        <v>11.33</v>
      </c>
      <c r="V118" s="140"/>
      <c r="W118" s="140"/>
      <c r="X118" s="140"/>
      <c r="Y118" s="140"/>
      <c r="Z118" s="140"/>
      <c r="AA118" s="140"/>
      <c r="AB118" s="140"/>
      <c r="AC118" s="140"/>
      <c r="AD118" s="140"/>
      <c r="AE118" s="140" t="s">
        <v>128</v>
      </c>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1" x14ac:dyDescent="0.25">
      <c r="A119" s="141"/>
      <c r="B119" s="141"/>
      <c r="C119" s="179" t="s">
        <v>250</v>
      </c>
      <c r="D119" s="150"/>
      <c r="E119" s="155">
        <v>35.08</v>
      </c>
      <c r="F119" s="158"/>
      <c r="G119" s="158"/>
      <c r="H119" s="158"/>
      <c r="I119" s="158"/>
      <c r="J119" s="158"/>
      <c r="K119" s="158"/>
      <c r="L119" s="158"/>
      <c r="M119" s="158"/>
      <c r="N119" s="148"/>
      <c r="O119" s="148"/>
      <c r="P119" s="148"/>
      <c r="Q119" s="148"/>
      <c r="R119" s="148"/>
      <c r="S119" s="148"/>
      <c r="T119" s="149"/>
      <c r="U119" s="148"/>
      <c r="V119" s="140"/>
      <c r="W119" s="140"/>
      <c r="X119" s="140"/>
      <c r="Y119" s="140"/>
      <c r="Z119" s="140"/>
      <c r="AA119" s="140"/>
      <c r="AB119" s="140"/>
      <c r="AC119" s="140"/>
      <c r="AD119" s="140"/>
      <c r="AE119" s="140" t="s">
        <v>130</v>
      </c>
      <c r="AF119" s="140">
        <v>0</v>
      </c>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x14ac:dyDescent="0.25">
      <c r="A120" s="141"/>
      <c r="B120" s="141"/>
      <c r="C120" s="179" t="s">
        <v>251</v>
      </c>
      <c r="D120" s="150"/>
      <c r="E120" s="155">
        <v>39.375</v>
      </c>
      <c r="F120" s="158"/>
      <c r="G120" s="158"/>
      <c r="H120" s="158"/>
      <c r="I120" s="158"/>
      <c r="J120" s="158"/>
      <c r="K120" s="158"/>
      <c r="L120" s="158"/>
      <c r="M120" s="158"/>
      <c r="N120" s="148"/>
      <c r="O120" s="148"/>
      <c r="P120" s="148"/>
      <c r="Q120" s="148"/>
      <c r="R120" s="148"/>
      <c r="S120" s="148"/>
      <c r="T120" s="149"/>
      <c r="U120" s="148"/>
      <c r="V120" s="140"/>
      <c r="W120" s="140"/>
      <c r="X120" s="140"/>
      <c r="Y120" s="140"/>
      <c r="Z120" s="140"/>
      <c r="AA120" s="140"/>
      <c r="AB120" s="140"/>
      <c r="AC120" s="140"/>
      <c r="AD120" s="140"/>
      <c r="AE120" s="140" t="s">
        <v>130</v>
      </c>
      <c r="AF120" s="140">
        <v>0</v>
      </c>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x14ac:dyDescent="0.25">
      <c r="A121" s="141"/>
      <c r="B121" s="141"/>
      <c r="C121" s="179" t="s">
        <v>252</v>
      </c>
      <c r="D121" s="150"/>
      <c r="E121" s="155">
        <v>28.55</v>
      </c>
      <c r="F121" s="158"/>
      <c r="G121" s="158"/>
      <c r="H121" s="158"/>
      <c r="I121" s="158"/>
      <c r="J121" s="158"/>
      <c r="K121" s="158"/>
      <c r="L121" s="158"/>
      <c r="M121" s="158"/>
      <c r="N121" s="148"/>
      <c r="O121" s="148"/>
      <c r="P121" s="148"/>
      <c r="Q121" s="148"/>
      <c r="R121" s="148"/>
      <c r="S121" s="148"/>
      <c r="T121" s="149"/>
      <c r="U121" s="148"/>
      <c r="V121" s="140"/>
      <c r="W121" s="140"/>
      <c r="X121" s="140"/>
      <c r="Y121" s="140"/>
      <c r="Z121" s="140"/>
      <c r="AA121" s="140"/>
      <c r="AB121" s="140"/>
      <c r="AC121" s="140"/>
      <c r="AD121" s="140"/>
      <c r="AE121" s="140" t="s">
        <v>130</v>
      </c>
      <c r="AF121" s="140">
        <v>0</v>
      </c>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x14ac:dyDescent="0.25">
      <c r="A122" s="141">
        <v>38</v>
      </c>
      <c r="B122" s="141" t="s">
        <v>253</v>
      </c>
      <c r="C122" s="178" t="s">
        <v>254</v>
      </c>
      <c r="D122" s="147" t="s">
        <v>136</v>
      </c>
      <c r="E122" s="154">
        <v>1</v>
      </c>
      <c r="F122" s="157"/>
      <c r="G122" s="158">
        <f>ROUND(E122*F122,2)</f>
        <v>0</v>
      </c>
      <c r="H122" s="158"/>
      <c r="I122" s="158">
        <f>ROUND(E122*H122,2)</f>
        <v>0</v>
      </c>
      <c r="J122" s="158"/>
      <c r="K122" s="158">
        <f>ROUND(E122*J122,2)</f>
        <v>0</v>
      </c>
      <c r="L122" s="158">
        <v>21</v>
      </c>
      <c r="M122" s="158">
        <f>G122*(1+L122/100)</f>
        <v>0</v>
      </c>
      <c r="N122" s="148">
        <v>0</v>
      </c>
      <c r="O122" s="148">
        <f>ROUND(E122*N122,5)</f>
        <v>0</v>
      </c>
      <c r="P122" s="148">
        <v>1.933E-2</v>
      </c>
      <c r="Q122" s="148">
        <f>ROUND(E122*P122,5)</f>
        <v>1.933E-2</v>
      </c>
      <c r="R122" s="148"/>
      <c r="S122" s="148"/>
      <c r="T122" s="149">
        <v>0.64383000000000001</v>
      </c>
      <c r="U122" s="148">
        <f>ROUND(E122*T122,2)</f>
        <v>0.64</v>
      </c>
      <c r="V122" s="140"/>
      <c r="W122" s="140"/>
      <c r="X122" s="140"/>
      <c r="Y122" s="140"/>
      <c r="Z122" s="140"/>
      <c r="AA122" s="140"/>
      <c r="AB122" s="140"/>
      <c r="AC122" s="140"/>
      <c r="AD122" s="140"/>
      <c r="AE122" s="140" t="s">
        <v>133</v>
      </c>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1" x14ac:dyDescent="0.25">
      <c r="A123" s="141"/>
      <c r="B123" s="141"/>
      <c r="C123" s="179" t="s">
        <v>52</v>
      </c>
      <c r="D123" s="150"/>
      <c r="E123" s="155">
        <v>1</v>
      </c>
      <c r="F123" s="158"/>
      <c r="G123" s="158"/>
      <c r="H123" s="158"/>
      <c r="I123" s="158"/>
      <c r="J123" s="158"/>
      <c r="K123" s="158"/>
      <c r="L123" s="158"/>
      <c r="M123" s="158"/>
      <c r="N123" s="148"/>
      <c r="O123" s="148"/>
      <c r="P123" s="148"/>
      <c r="Q123" s="148"/>
      <c r="R123" s="148"/>
      <c r="S123" s="148"/>
      <c r="T123" s="149"/>
      <c r="U123" s="148"/>
      <c r="V123" s="140"/>
      <c r="W123" s="140"/>
      <c r="X123" s="140"/>
      <c r="Y123" s="140"/>
      <c r="Z123" s="140"/>
      <c r="AA123" s="140"/>
      <c r="AB123" s="140"/>
      <c r="AC123" s="140"/>
      <c r="AD123" s="140"/>
      <c r="AE123" s="140" t="s">
        <v>130</v>
      </c>
      <c r="AF123" s="140">
        <v>0</v>
      </c>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1" x14ac:dyDescent="0.25">
      <c r="A124" s="141">
        <v>39</v>
      </c>
      <c r="B124" s="141" t="s">
        <v>255</v>
      </c>
      <c r="C124" s="178" t="s">
        <v>256</v>
      </c>
      <c r="D124" s="147" t="s">
        <v>136</v>
      </c>
      <c r="E124" s="154">
        <v>2</v>
      </c>
      <c r="F124" s="157"/>
      <c r="G124" s="158">
        <f>ROUND(E124*F124,2)</f>
        <v>0</v>
      </c>
      <c r="H124" s="158"/>
      <c r="I124" s="158">
        <f>ROUND(E124*H124,2)</f>
        <v>0</v>
      </c>
      <c r="J124" s="158"/>
      <c r="K124" s="158">
        <f>ROUND(E124*J124,2)</f>
        <v>0</v>
      </c>
      <c r="L124" s="158">
        <v>21</v>
      </c>
      <c r="M124" s="158">
        <f>G124*(1+L124/100)</f>
        <v>0</v>
      </c>
      <c r="N124" s="148">
        <v>0</v>
      </c>
      <c r="O124" s="148">
        <f>ROUND(E124*N124,5)</f>
        <v>0</v>
      </c>
      <c r="P124" s="148">
        <v>3.1870000000000002E-2</v>
      </c>
      <c r="Q124" s="148">
        <f>ROUND(E124*P124,5)</f>
        <v>6.3740000000000005E-2</v>
      </c>
      <c r="R124" s="148"/>
      <c r="S124" s="148"/>
      <c r="T124" s="149">
        <v>0.89376</v>
      </c>
      <c r="U124" s="148">
        <f>ROUND(E124*T124,2)</f>
        <v>1.79</v>
      </c>
      <c r="V124" s="140"/>
      <c r="W124" s="140"/>
      <c r="X124" s="140"/>
      <c r="Y124" s="140"/>
      <c r="Z124" s="140"/>
      <c r="AA124" s="140"/>
      <c r="AB124" s="140"/>
      <c r="AC124" s="140"/>
      <c r="AD124" s="140"/>
      <c r="AE124" s="140" t="s">
        <v>133</v>
      </c>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1" x14ac:dyDescent="0.25">
      <c r="A125" s="141"/>
      <c r="B125" s="141"/>
      <c r="C125" s="179" t="s">
        <v>177</v>
      </c>
      <c r="D125" s="150"/>
      <c r="E125" s="155">
        <v>2</v>
      </c>
      <c r="F125" s="158"/>
      <c r="G125" s="158"/>
      <c r="H125" s="158"/>
      <c r="I125" s="158"/>
      <c r="J125" s="158"/>
      <c r="K125" s="158"/>
      <c r="L125" s="158"/>
      <c r="M125" s="158"/>
      <c r="N125" s="148"/>
      <c r="O125" s="148"/>
      <c r="P125" s="148"/>
      <c r="Q125" s="148"/>
      <c r="R125" s="148"/>
      <c r="S125" s="148"/>
      <c r="T125" s="149"/>
      <c r="U125" s="148"/>
      <c r="V125" s="140"/>
      <c r="W125" s="140"/>
      <c r="X125" s="140"/>
      <c r="Y125" s="140"/>
      <c r="Z125" s="140"/>
      <c r="AA125" s="140"/>
      <c r="AB125" s="140"/>
      <c r="AC125" s="140"/>
      <c r="AD125" s="140"/>
      <c r="AE125" s="140" t="s">
        <v>130</v>
      </c>
      <c r="AF125" s="140">
        <v>0</v>
      </c>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1" x14ac:dyDescent="0.25">
      <c r="A126" s="141">
        <v>40</v>
      </c>
      <c r="B126" s="141" t="s">
        <v>257</v>
      </c>
      <c r="C126" s="178" t="s">
        <v>258</v>
      </c>
      <c r="D126" s="147" t="s">
        <v>139</v>
      </c>
      <c r="E126" s="154">
        <v>265.1352</v>
      </c>
      <c r="F126" s="157"/>
      <c r="G126" s="158">
        <f>ROUND(E126*F126,2)</f>
        <v>0</v>
      </c>
      <c r="H126" s="158"/>
      <c r="I126" s="158">
        <f>ROUND(E126*H126,2)</f>
        <v>0</v>
      </c>
      <c r="J126" s="158"/>
      <c r="K126" s="158">
        <f>ROUND(E126*J126,2)</f>
        <v>0</v>
      </c>
      <c r="L126" s="158">
        <v>21</v>
      </c>
      <c r="M126" s="158">
        <f>G126*(1+L126/100)</f>
        <v>0</v>
      </c>
      <c r="N126" s="148">
        <v>1.0000000000000001E-5</v>
      </c>
      <c r="O126" s="148">
        <f>ROUND(E126*N126,5)</f>
        <v>2.65E-3</v>
      </c>
      <c r="P126" s="148">
        <v>0</v>
      </c>
      <c r="Q126" s="148">
        <f>ROUND(E126*P126,5)</f>
        <v>0</v>
      </c>
      <c r="R126" s="148"/>
      <c r="S126" s="148"/>
      <c r="T126" s="149">
        <v>6.8000000000000005E-2</v>
      </c>
      <c r="U126" s="148">
        <f>ROUND(E126*T126,2)</f>
        <v>18.03</v>
      </c>
      <c r="V126" s="140"/>
      <c r="W126" s="140"/>
      <c r="X126" s="140"/>
      <c r="Y126" s="140"/>
      <c r="Z126" s="140"/>
      <c r="AA126" s="140"/>
      <c r="AB126" s="140"/>
      <c r="AC126" s="140"/>
      <c r="AD126" s="140"/>
      <c r="AE126" s="140" t="s">
        <v>128</v>
      </c>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x14ac:dyDescent="0.25">
      <c r="A127" s="141"/>
      <c r="B127" s="141"/>
      <c r="C127" s="179" t="s">
        <v>259</v>
      </c>
      <c r="D127" s="150"/>
      <c r="E127" s="155">
        <v>88.146000000000001</v>
      </c>
      <c r="F127" s="158"/>
      <c r="G127" s="158"/>
      <c r="H127" s="158"/>
      <c r="I127" s="158"/>
      <c r="J127" s="158"/>
      <c r="K127" s="158"/>
      <c r="L127" s="158"/>
      <c r="M127" s="158"/>
      <c r="N127" s="148"/>
      <c r="O127" s="148"/>
      <c r="P127" s="148"/>
      <c r="Q127" s="148"/>
      <c r="R127" s="148"/>
      <c r="S127" s="148"/>
      <c r="T127" s="149"/>
      <c r="U127" s="148"/>
      <c r="V127" s="140"/>
      <c r="W127" s="140"/>
      <c r="X127" s="140"/>
      <c r="Y127" s="140"/>
      <c r="Z127" s="140"/>
      <c r="AA127" s="140"/>
      <c r="AB127" s="140"/>
      <c r="AC127" s="140"/>
      <c r="AD127" s="140"/>
      <c r="AE127" s="140" t="s">
        <v>130</v>
      </c>
      <c r="AF127" s="140">
        <v>0</v>
      </c>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1" x14ac:dyDescent="0.25">
      <c r="A128" s="141"/>
      <c r="B128" s="141"/>
      <c r="C128" s="179" t="s">
        <v>260</v>
      </c>
      <c r="D128" s="150"/>
      <c r="E128" s="155">
        <v>14.11</v>
      </c>
      <c r="F128" s="158"/>
      <c r="G128" s="158"/>
      <c r="H128" s="158"/>
      <c r="I128" s="158"/>
      <c r="J128" s="158"/>
      <c r="K128" s="158"/>
      <c r="L128" s="158"/>
      <c r="M128" s="158"/>
      <c r="N128" s="148"/>
      <c r="O128" s="148"/>
      <c r="P128" s="148"/>
      <c r="Q128" s="148"/>
      <c r="R128" s="148"/>
      <c r="S128" s="148"/>
      <c r="T128" s="149"/>
      <c r="U128" s="148"/>
      <c r="V128" s="140"/>
      <c r="W128" s="140"/>
      <c r="X128" s="140"/>
      <c r="Y128" s="140"/>
      <c r="Z128" s="140"/>
      <c r="AA128" s="140"/>
      <c r="AB128" s="140"/>
      <c r="AC128" s="140"/>
      <c r="AD128" s="140"/>
      <c r="AE128" s="140" t="s">
        <v>130</v>
      </c>
      <c r="AF128" s="140">
        <v>0</v>
      </c>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ht="20" outlineLevel="1" x14ac:dyDescent="0.25">
      <c r="A129" s="141"/>
      <c r="B129" s="141"/>
      <c r="C129" s="179" t="s">
        <v>261</v>
      </c>
      <c r="D129" s="150"/>
      <c r="E129" s="155">
        <v>162.8792</v>
      </c>
      <c r="F129" s="158"/>
      <c r="G129" s="158"/>
      <c r="H129" s="158"/>
      <c r="I129" s="158"/>
      <c r="J129" s="158"/>
      <c r="K129" s="158"/>
      <c r="L129" s="158"/>
      <c r="M129" s="158"/>
      <c r="N129" s="148"/>
      <c r="O129" s="148"/>
      <c r="P129" s="148"/>
      <c r="Q129" s="148"/>
      <c r="R129" s="148"/>
      <c r="S129" s="148"/>
      <c r="T129" s="149"/>
      <c r="U129" s="148"/>
      <c r="V129" s="140"/>
      <c r="W129" s="140"/>
      <c r="X129" s="140"/>
      <c r="Y129" s="140"/>
      <c r="Z129" s="140"/>
      <c r="AA129" s="140"/>
      <c r="AB129" s="140"/>
      <c r="AC129" s="140"/>
      <c r="AD129" s="140"/>
      <c r="AE129" s="140" t="s">
        <v>130</v>
      </c>
      <c r="AF129" s="140">
        <v>0</v>
      </c>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1" x14ac:dyDescent="0.25">
      <c r="A130" s="141">
        <v>41</v>
      </c>
      <c r="B130" s="141" t="s">
        <v>262</v>
      </c>
      <c r="C130" s="178" t="s">
        <v>263</v>
      </c>
      <c r="D130" s="147" t="s">
        <v>139</v>
      </c>
      <c r="E130" s="154">
        <v>40</v>
      </c>
      <c r="F130" s="157"/>
      <c r="G130" s="158">
        <f>ROUND(E130*F130,2)</f>
        <v>0</v>
      </c>
      <c r="H130" s="158"/>
      <c r="I130" s="158">
        <f>ROUND(E130*H130,2)</f>
        <v>0</v>
      </c>
      <c r="J130" s="158"/>
      <c r="K130" s="158">
        <f>ROUND(E130*J130,2)</f>
        <v>0</v>
      </c>
      <c r="L130" s="158">
        <v>21</v>
      </c>
      <c r="M130" s="158">
        <f>G130*(1+L130/100)</f>
        <v>0</v>
      </c>
      <c r="N130" s="148">
        <v>3.3E-4</v>
      </c>
      <c r="O130" s="148">
        <f>ROUND(E130*N130,5)</f>
        <v>1.32E-2</v>
      </c>
      <c r="P130" s="148">
        <v>1.183E-2</v>
      </c>
      <c r="Q130" s="148">
        <f>ROUND(E130*P130,5)</f>
        <v>0.47320000000000001</v>
      </c>
      <c r="R130" s="148"/>
      <c r="S130" s="148"/>
      <c r="T130" s="149">
        <v>0.34599999999999997</v>
      </c>
      <c r="U130" s="148">
        <f>ROUND(E130*T130,2)</f>
        <v>13.84</v>
      </c>
      <c r="V130" s="140"/>
      <c r="W130" s="140"/>
      <c r="X130" s="140"/>
      <c r="Y130" s="140"/>
      <c r="Z130" s="140"/>
      <c r="AA130" s="140"/>
      <c r="AB130" s="140"/>
      <c r="AC130" s="140"/>
      <c r="AD130" s="140"/>
      <c r="AE130" s="140" t="s">
        <v>128</v>
      </c>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x14ac:dyDescent="0.25">
      <c r="A131" s="141"/>
      <c r="B131" s="141"/>
      <c r="C131" s="179" t="s">
        <v>264</v>
      </c>
      <c r="D131" s="150"/>
      <c r="E131" s="155">
        <v>40</v>
      </c>
      <c r="F131" s="158"/>
      <c r="G131" s="158"/>
      <c r="H131" s="158"/>
      <c r="I131" s="158"/>
      <c r="J131" s="158"/>
      <c r="K131" s="158"/>
      <c r="L131" s="158"/>
      <c r="M131" s="158"/>
      <c r="N131" s="148"/>
      <c r="O131" s="148"/>
      <c r="P131" s="148"/>
      <c r="Q131" s="148"/>
      <c r="R131" s="148"/>
      <c r="S131" s="148"/>
      <c r="T131" s="149"/>
      <c r="U131" s="148"/>
      <c r="V131" s="140"/>
      <c r="W131" s="140"/>
      <c r="X131" s="140"/>
      <c r="Y131" s="140"/>
      <c r="Z131" s="140"/>
      <c r="AA131" s="140"/>
      <c r="AB131" s="140"/>
      <c r="AC131" s="140"/>
      <c r="AD131" s="140"/>
      <c r="AE131" s="140" t="s">
        <v>130</v>
      </c>
      <c r="AF131" s="140">
        <v>0</v>
      </c>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1" x14ac:dyDescent="0.25">
      <c r="A132" s="141">
        <v>42</v>
      </c>
      <c r="B132" s="141" t="s">
        <v>265</v>
      </c>
      <c r="C132" s="178" t="s">
        <v>266</v>
      </c>
      <c r="D132" s="147" t="s">
        <v>203</v>
      </c>
      <c r="E132" s="154">
        <v>2.2999999999999998</v>
      </c>
      <c r="F132" s="157"/>
      <c r="G132" s="158">
        <f>ROUND(E132*F132,2)</f>
        <v>0</v>
      </c>
      <c r="H132" s="158"/>
      <c r="I132" s="158">
        <f>ROUND(E132*H132,2)</f>
        <v>0</v>
      </c>
      <c r="J132" s="158"/>
      <c r="K132" s="158">
        <f>ROUND(E132*J132,2)</f>
        <v>0</v>
      </c>
      <c r="L132" s="158">
        <v>21</v>
      </c>
      <c r="M132" s="158">
        <f>G132*(1+L132/100)</f>
        <v>0</v>
      </c>
      <c r="N132" s="148">
        <v>0</v>
      </c>
      <c r="O132" s="148">
        <f>ROUND(E132*N132,5)</f>
        <v>0</v>
      </c>
      <c r="P132" s="148">
        <v>0</v>
      </c>
      <c r="Q132" s="148">
        <f>ROUND(E132*P132,5)</f>
        <v>0</v>
      </c>
      <c r="R132" s="148"/>
      <c r="S132" s="148"/>
      <c r="T132" s="149">
        <v>0</v>
      </c>
      <c r="U132" s="148">
        <f>ROUND(E132*T132,2)</f>
        <v>0</v>
      </c>
      <c r="V132" s="140"/>
      <c r="W132" s="140"/>
      <c r="X132" s="140"/>
      <c r="Y132" s="140"/>
      <c r="Z132" s="140"/>
      <c r="AA132" s="140"/>
      <c r="AB132" s="140"/>
      <c r="AC132" s="140"/>
      <c r="AD132" s="140"/>
      <c r="AE132" s="140" t="s">
        <v>128</v>
      </c>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1" x14ac:dyDescent="0.25">
      <c r="A133" s="141"/>
      <c r="B133" s="141"/>
      <c r="C133" s="179" t="s">
        <v>267</v>
      </c>
      <c r="D133" s="150"/>
      <c r="E133" s="155">
        <v>2.2999999999999998</v>
      </c>
      <c r="F133" s="158"/>
      <c r="G133" s="158"/>
      <c r="H133" s="158"/>
      <c r="I133" s="158"/>
      <c r="J133" s="158"/>
      <c r="K133" s="158"/>
      <c r="L133" s="158"/>
      <c r="M133" s="158"/>
      <c r="N133" s="148"/>
      <c r="O133" s="148"/>
      <c r="P133" s="148"/>
      <c r="Q133" s="148"/>
      <c r="R133" s="148"/>
      <c r="S133" s="148"/>
      <c r="T133" s="149"/>
      <c r="U133" s="148"/>
      <c r="V133" s="140"/>
      <c r="W133" s="140"/>
      <c r="X133" s="140"/>
      <c r="Y133" s="140"/>
      <c r="Z133" s="140"/>
      <c r="AA133" s="140"/>
      <c r="AB133" s="140"/>
      <c r="AC133" s="140"/>
      <c r="AD133" s="140"/>
      <c r="AE133" s="140" t="s">
        <v>130</v>
      </c>
      <c r="AF133" s="140">
        <v>0</v>
      </c>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x14ac:dyDescent="0.25">
      <c r="A134" s="141">
        <v>43</v>
      </c>
      <c r="B134" s="141" t="s">
        <v>268</v>
      </c>
      <c r="C134" s="178" t="s">
        <v>269</v>
      </c>
      <c r="D134" s="147" t="s">
        <v>203</v>
      </c>
      <c r="E134" s="154">
        <v>35</v>
      </c>
      <c r="F134" s="157"/>
      <c r="G134" s="158">
        <f>ROUND(E134*F134,2)</f>
        <v>0</v>
      </c>
      <c r="H134" s="158"/>
      <c r="I134" s="158">
        <f>ROUND(E134*H134,2)</f>
        <v>0</v>
      </c>
      <c r="J134" s="158"/>
      <c r="K134" s="158">
        <f>ROUND(E134*J134,2)</f>
        <v>0</v>
      </c>
      <c r="L134" s="158">
        <v>21</v>
      </c>
      <c r="M134" s="158">
        <f>G134*(1+L134/100)</f>
        <v>0</v>
      </c>
      <c r="N134" s="148">
        <v>4.0000000000000003E-5</v>
      </c>
      <c r="O134" s="148">
        <f>ROUND(E134*N134,5)</f>
        <v>1.4E-3</v>
      </c>
      <c r="P134" s="148">
        <v>2.8999999999999998E-3</v>
      </c>
      <c r="Q134" s="148">
        <f>ROUND(E134*P134,5)</f>
        <v>0.10150000000000001</v>
      </c>
      <c r="R134" s="148"/>
      <c r="S134" s="148"/>
      <c r="T134" s="149">
        <v>0.10392</v>
      </c>
      <c r="U134" s="148">
        <f>ROUND(E134*T134,2)</f>
        <v>3.64</v>
      </c>
      <c r="V134" s="140"/>
      <c r="W134" s="140"/>
      <c r="X134" s="140"/>
      <c r="Y134" s="140"/>
      <c r="Z134" s="140"/>
      <c r="AA134" s="140"/>
      <c r="AB134" s="140"/>
      <c r="AC134" s="140"/>
      <c r="AD134" s="140"/>
      <c r="AE134" s="140" t="s">
        <v>133</v>
      </c>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x14ac:dyDescent="0.25">
      <c r="A135" s="141"/>
      <c r="B135" s="141"/>
      <c r="C135" s="179" t="s">
        <v>270</v>
      </c>
      <c r="D135" s="150"/>
      <c r="E135" s="155">
        <v>35</v>
      </c>
      <c r="F135" s="158"/>
      <c r="G135" s="158"/>
      <c r="H135" s="158"/>
      <c r="I135" s="158"/>
      <c r="J135" s="158"/>
      <c r="K135" s="158"/>
      <c r="L135" s="158"/>
      <c r="M135" s="158"/>
      <c r="N135" s="148"/>
      <c r="O135" s="148"/>
      <c r="P135" s="148"/>
      <c r="Q135" s="148"/>
      <c r="R135" s="148"/>
      <c r="S135" s="148"/>
      <c r="T135" s="149"/>
      <c r="U135" s="148"/>
      <c r="V135" s="140"/>
      <c r="W135" s="140"/>
      <c r="X135" s="140"/>
      <c r="Y135" s="140"/>
      <c r="Z135" s="140"/>
      <c r="AA135" s="140"/>
      <c r="AB135" s="140"/>
      <c r="AC135" s="140"/>
      <c r="AD135" s="140"/>
      <c r="AE135" s="140" t="s">
        <v>130</v>
      </c>
      <c r="AF135" s="140">
        <v>0</v>
      </c>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1" x14ac:dyDescent="0.25">
      <c r="A136" s="141">
        <v>44</v>
      </c>
      <c r="B136" s="141" t="s">
        <v>271</v>
      </c>
      <c r="C136" s="178" t="s">
        <v>272</v>
      </c>
      <c r="D136" s="147" t="s">
        <v>203</v>
      </c>
      <c r="E136" s="154">
        <v>50</v>
      </c>
      <c r="F136" s="157"/>
      <c r="G136" s="158">
        <f>ROUND(E136*F136,2)</f>
        <v>0</v>
      </c>
      <c r="H136" s="158"/>
      <c r="I136" s="158">
        <f>ROUND(E136*H136,2)</f>
        <v>0</v>
      </c>
      <c r="J136" s="158"/>
      <c r="K136" s="158">
        <f>ROUND(E136*J136,2)</f>
        <v>0</v>
      </c>
      <c r="L136" s="158">
        <v>21</v>
      </c>
      <c r="M136" s="158">
        <f>G136*(1+L136/100)</f>
        <v>0</v>
      </c>
      <c r="N136" s="148">
        <v>0</v>
      </c>
      <c r="O136" s="148">
        <f>ROUND(E136*N136,5)</f>
        <v>0</v>
      </c>
      <c r="P136" s="148">
        <v>1.106E-2</v>
      </c>
      <c r="Q136" s="148">
        <f>ROUND(E136*P136,5)</f>
        <v>0.55300000000000005</v>
      </c>
      <c r="R136" s="148"/>
      <c r="S136" s="148"/>
      <c r="T136" s="149">
        <v>0.52200000000000002</v>
      </c>
      <c r="U136" s="148">
        <f>ROUND(E136*T136,2)</f>
        <v>26.1</v>
      </c>
      <c r="V136" s="140"/>
      <c r="W136" s="140"/>
      <c r="X136" s="140"/>
      <c r="Y136" s="140"/>
      <c r="Z136" s="140"/>
      <c r="AA136" s="140"/>
      <c r="AB136" s="140"/>
      <c r="AC136" s="140"/>
      <c r="AD136" s="140"/>
      <c r="AE136" s="140" t="s">
        <v>128</v>
      </c>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1" x14ac:dyDescent="0.25">
      <c r="A137" s="141"/>
      <c r="B137" s="141"/>
      <c r="C137" s="179" t="s">
        <v>273</v>
      </c>
      <c r="D137" s="150"/>
      <c r="E137" s="155">
        <v>50</v>
      </c>
      <c r="F137" s="158"/>
      <c r="G137" s="158"/>
      <c r="H137" s="158"/>
      <c r="I137" s="158"/>
      <c r="J137" s="158"/>
      <c r="K137" s="158"/>
      <c r="L137" s="158"/>
      <c r="M137" s="158"/>
      <c r="N137" s="148"/>
      <c r="O137" s="148"/>
      <c r="P137" s="148"/>
      <c r="Q137" s="148"/>
      <c r="R137" s="148"/>
      <c r="S137" s="148"/>
      <c r="T137" s="149"/>
      <c r="U137" s="148"/>
      <c r="V137" s="140"/>
      <c r="W137" s="140"/>
      <c r="X137" s="140"/>
      <c r="Y137" s="140"/>
      <c r="Z137" s="140"/>
      <c r="AA137" s="140"/>
      <c r="AB137" s="140"/>
      <c r="AC137" s="140"/>
      <c r="AD137" s="140"/>
      <c r="AE137" s="140" t="s">
        <v>130</v>
      </c>
      <c r="AF137" s="140">
        <v>0</v>
      </c>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x14ac:dyDescent="0.25">
      <c r="A138" s="142" t="s">
        <v>123</v>
      </c>
      <c r="B138" s="142" t="s">
        <v>68</v>
      </c>
      <c r="C138" s="180" t="s">
        <v>69</v>
      </c>
      <c r="D138" s="151"/>
      <c r="E138" s="156"/>
      <c r="F138" s="159"/>
      <c r="G138" s="159">
        <f>SUMIF(AE139:AE165,"&lt;&gt;NOR",G139:G165)</f>
        <v>0</v>
      </c>
      <c r="H138" s="159"/>
      <c r="I138" s="159">
        <f>SUM(I139:I165)</f>
        <v>0</v>
      </c>
      <c r="J138" s="159"/>
      <c r="K138" s="159">
        <f>SUM(K139:K165)</f>
        <v>0</v>
      </c>
      <c r="L138" s="159"/>
      <c r="M138" s="159">
        <f>SUM(M139:M165)</f>
        <v>0</v>
      </c>
      <c r="N138" s="152"/>
      <c r="O138" s="152">
        <f>SUM(O139:O165)</f>
        <v>0</v>
      </c>
      <c r="P138" s="152"/>
      <c r="Q138" s="152">
        <f>SUM(Q139:Q165)</f>
        <v>0</v>
      </c>
      <c r="R138" s="152"/>
      <c r="S138" s="152"/>
      <c r="T138" s="153"/>
      <c r="U138" s="152">
        <f>SUM(U139:U165)</f>
        <v>155.9</v>
      </c>
      <c r="AE138" t="s">
        <v>124</v>
      </c>
    </row>
    <row r="139" spans="1:60" outlineLevel="1" x14ac:dyDescent="0.25">
      <c r="A139" s="141">
        <v>45</v>
      </c>
      <c r="B139" s="141" t="s">
        <v>274</v>
      </c>
      <c r="C139" s="178" t="s">
        <v>275</v>
      </c>
      <c r="D139" s="147" t="s">
        <v>154</v>
      </c>
      <c r="E139" s="154">
        <v>57.149065697499999</v>
      </c>
      <c r="F139" s="157"/>
      <c r="G139" s="158">
        <f>ROUND(E139*F139,2)</f>
        <v>0</v>
      </c>
      <c r="H139" s="158"/>
      <c r="I139" s="158">
        <f>ROUND(E139*H139,2)</f>
        <v>0</v>
      </c>
      <c r="J139" s="158"/>
      <c r="K139" s="158">
        <f>ROUND(E139*J139,2)</f>
        <v>0</v>
      </c>
      <c r="L139" s="158">
        <v>21</v>
      </c>
      <c r="M139" s="158">
        <f>G139*(1+L139/100)</f>
        <v>0</v>
      </c>
      <c r="N139" s="148">
        <v>0</v>
      </c>
      <c r="O139" s="148">
        <f>ROUND(E139*N139,5)</f>
        <v>0</v>
      </c>
      <c r="P139" s="148">
        <v>0</v>
      </c>
      <c r="Q139" s="148">
        <f>ROUND(E139*P139,5)</f>
        <v>0</v>
      </c>
      <c r="R139" s="148"/>
      <c r="S139" s="148"/>
      <c r="T139" s="149">
        <v>0.94</v>
      </c>
      <c r="U139" s="148">
        <f>ROUND(E139*T139,2)</f>
        <v>53.72</v>
      </c>
      <c r="V139" s="140"/>
      <c r="W139" s="140"/>
      <c r="X139" s="140"/>
      <c r="Y139" s="140"/>
      <c r="Z139" s="140"/>
      <c r="AA139" s="140"/>
      <c r="AB139" s="140"/>
      <c r="AC139" s="140"/>
      <c r="AD139" s="140"/>
      <c r="AE139" s="140" t="s">
        <v>128</v>
      </c>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ht="20" outlineLevel="1" x14ac:dyDescent="0.25">
      <c r="A140" s="141"/>
      <c r="B140" s="141"/>
      <c r="C140" s="179" t="s">
        <v>276</v>
      </c>
      <c r="D140" s="150"/>
      <c r="E140" s="155">
        <v>2.1302256974999998</v>
      </c>
      <c r="F140" s="158"/>
      <c r="G140" s="158"/>
      <c r="H140" s="158"/>
      <c r="I140" s="158"/>
      <c r="J140" s="158"/>
      <c r="K140" s="158"/>
      <c r="L140" s="158"/>
      <c r="M140" s="158"/>
      <c r="N140" s="148"/>
      <c r="O140" s="148"/>
      <c r="P140" s="148"/>
      <c r="Q140" s="148"/>
      <c r="R140" s="148"/>
      <c r="S140" s="148"/>
      <c r="T140" s="149"/>
      <c r="U140" s="148"/>
      <c r="V140" s="140"/>
      <c r="W140" s="140"/>
      <c r="X140" s="140"/>
      <c r="Y140" s="140"/>
      <c r="Z140" s="140"/>
      <c r="AA140" s="140"/>
      <c r="AB140" s="140"/>
      <c r="AC140" s="140"/>
      <c r="AD140" s="140"/>
      <c r="AE140" s="140" t="s">
        <v>130</v>
      </c>
      <c r="AF140" s="140">
        <v>0</v>
      </c>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1" x14ac:dyDescent="0.25">
      <c r="A141" s="141"/>
      <c r="B141" s="141"/>
      <c r="C141" s="179" t="s">
        <v>277</v>
      </c>
      <c r="D141" s="150"/>
      <c r="E141" s="155">
        <v>55.018839999999997</v>
      </c>
      <c r="F141" s="158"/>
      <c r="G141" s="158"/>
      <c r="H141" s="158"/>
      <c r="I141" s="158"/>
      <c r="J141" s="158"/>
      <c r="K141" s="158"/>
      <c r="L141" s="158"/>
      <c r="M141" s="158"/>
      <c r="N141" s="148"/>
      <c r="O141" s="148"/>
      <c r="P141" s="148"/>
      <c r="Q141" s="148"/>
      <c r="R141" s="148"/>
      <c r="S141" s="148"/>
      <c r="T141" s="149"/>
      <c r="U141" s="148"/>
      <c r="V141" s="140"/>
      <c r="W141" s="140"/>
      <c r="X141" s="140"/>
      <c r="Y141" s="140"/>
      <c r="Z141" s="140"/>
      <c r="AA141" s="140"/>
      <c r="AB141" s="140"/>
      <c r="AC141" s="140"/>
      <c r="AD141" s="140"/>
      <c r="AE141" s="140" t="s">
        <v>130</v>
      </c>
      <c r="AF141" s="140">
        <v>0</v>
      </c>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1" x14ac:dyDescent="0.25">
      <c r="A142" s="141">
        <v>46</v>
      </c>
      <c r="B142" s="141" t="s">
        <v>278</v>
      </c>
      <c r="C142" s="178" t="s">
        <v>279</v>
      </c>
      <c r="D142" s="147" t="s">
        <v>154</v>
      </c>
      <c r="E142" s="154">
        <v>342.89439418500001</v>
      </c>
      <c r="F142" s="157"/>
      <c r="G142" s="158">
        <f>ROUND(E142*F142,2)</f>
        <v>0</v>
      </c>
      <c r="H142" s="158"/>
      <c r="I142" s="158">
        <f>ROUND(E142*H142,2)</f>
        <v>0</v>
      </c>
      <c r="J142" s="158"/>
      <c r="K142" s="158">
        <f>ROUND(E142*J142,2)</f>
        <v>0</v>
      </c>
      <c r="L142" s="158">
        <v>21</v>
      </c>
      <c r="M142" s="158">
        <f>G142*(1+L142/100)</f>
        <v>0</v>
      </c>
      <c r="N142" s="148">
        <v>0</v>
      </c>
      <c r="O142" s="148">
        <f>ROUND(E142*N142,5)</f>
        <v>0</v>
      </c>
      <c r="P142" s="148">
        <v>0</v>
      </c>
      <c r="Q142" s="148">
        <f>ROUND(E142*P142,5)</f>
        <v>0</v>
      </c>
      <c r="R142" s="148"/>
      <c r="S142" s="148"/>
      <c r="T142" s="149">
        <v>0.11</v>
      </c>
      <c r="U142" s="148">
        <f>ROUND(E142*T142,2)</f>
        <v>37.72</v>
      </c>
      <c r="V142" s="140"/>
      <c r="W142" s="140"/>
      <c r="X142" s="140"/>
      <c r="Y142" s="140"/>
      <c r="Z142" s="140"/>
      <c r="AA142" s="140"/>
      <c r="AB142" s="140"/>
      <c r="AC142" s="140"/>
      <c r="AD142" s="140"/>
      <c r="AE142" s="140" t="s">
        <v>128</v>
      </c>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20" outlineLevel="1" x14ac:dyDescent="0.25">
      <c r="A143" s="141"/>
      <c r="B143" s="141"/>
      <c r="C143" s="179" t="s">
        <v>280</v>
      </c>
      <c r="D143" s="150"/>
      <c r="E143" s="155">
        <v>12.781354185</v>
      </c>
      <c r="F143" s="158"/>
      <c r="G143" s="158"/>
      <c r="H143" s="158"/>
      <c r="I143" s="158"/>
      <c r="J143" s="158"/>
      <c r="K143" s="158"/>
      <c r="L143" s="158"/>
      <c r="M143" s="158"/>
      <c r="N143" s="148"/>
      <c r="O143" s="148"/>
      <c r="P143" s="148"/>
      <c r="Q143" s="148"/>
      <c r="R143" s="148"/>
      <c r="S143" s="148"/>
      <c r="T143" s="149"/>
      <c r="U143" s="148"/>
      <c r="V143" s="140"/>
      <c r="W143" s="140"/>
      <c r="X143" s="140"/>
      <c r="Y143" s="140"/>
      <c r="Z143" s="140"/>
      <c r="AA143" s="140"/>
      <c r="AB143" s="140"/>
      <c r="AC143" s="140"/>
      <c r="AD143" s="140"/>
      <c r="AE143" s="140" t="s">
        <v>130</v>
      </c>
      <c r="AF143" s="140">
        <v>0</v>
      </c>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1" x14ac:dyDescent="0.25">
      <c r="A144" s="141"/>
      <c r="B144" s="141"/>
      <c r="C144" s="179" t="s">
        <v>281</v>
      </c>
      <c r="D144" s="150"/>
      <c r="E144" s="155">
        <v>330.11304000000001</v>
      </c>
      <c r="F144" s="158"/>
      <c r="G144" s="158"/>
      <c r="H144" s="158"/>
      <c r="I144" s="158"/>
      <c r="J144" s="158"/>
      <c r="K144" s="158"/>
      <c r="L144" s="158"/>
      <c r="M144" s="158"/>
      <c r="N144" s="148"/>
      <c r="O144" s="148"/>
      <c r="P144" s="148"/>
      <c r="Q144" s="148"/>
      <c r="R144" s="148"/>
      <c r="S144" s="148"/>
      <c r="T144" s="149"/>
      <c r="U144" s="148"/>
      <c r="V144" s="140"/>
      <c r="W144" s="140"/>
      <c r="X144" s="140"/>
      <c r="Y144" s="140"/>
      <c r="Z144" s="140"/>
      <c r="AA144" s="140"/>
      <c r="AB144" s="140"/>
      <c r="AC144" s="140"/>
      <c r="AD144" s="140"/>
      <c r="AE144" s="140" t="s">
        <v>130</v>
      </c>
      <c r="AF144" s="140">
        <v>0</v>
      </c>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1" x14ac:dyDescent="0.25">
      <c r="A145" s="141">
        <v>47</v>
      </c>
      <c r="B145" s="141" t="s">
        <v>282</v>
      </c>
      <c r="C145" s="178" t="s">
        <v>283</v>
      </c>
      <c r="D145" s="147" t="s">
        <v>154</v>
      </c>
      <c r="E145" s="154">
        <v>57.149065697499999</v>
      </c>
      <c r="F145" s="157"/>
      <c r="G145" s="158">
        <f>ROUND(E145*F145,2)</f>
        <v>0</v>
      </c>
      <c r="H145" s="158"/>
      <c r="I145" s="158">
        <f>ROUND(E145*H145,2)</f>
        <v>0</v>
      </c>
      <c r="J145" s="158"/>
      <c r="K145" s="158">
        <f>ROUND(E145*J145,2)</f>
        <v>0</v>
      </c>
      <c r="L145" s="158">
        <v>21</v>
      </c>
      <c r="M145" s="158">
        <f>G145*(1+L145/100)</f>
        <v>0</v>
      </c>
      <c r="N145" s="148">
        <v>0</v>
      </c>
      <c r="O145" s="148">
        <f>ROUND(E145*N145,5)</f>
        <v>0</v>
      </c>
      <c r="P145" s="148">
        <v>0</v>
      </c>
      <c r="Q145" s="148">
        <f>ROUND(E145*P145,5)</f>
        <v>0</v>
      </c>
      <c r="R145" s="148"/>
      <c r="S145" s="148"/>
      <c r="T145" s="149">
        <v>0.63800000000000001</v>
      </c>
      <c r="U145" s="148">
        <f>ROUND(E145*T145,2)</f>
        <v>36.46</v>
      </c>
      <c r="V145" s="140"/>
      <c r="W145" s="140"/>
      <c r="X145" s="140"/>
      <c r="Y145" s="140"/>
      <c r="Z145" s="140"/>
      <c r="AA145" s="140"/>
      <c r="AB145" s="140"/>
      <c r="AC145" s="140"/>
      <c r="AD145" s="140"/>
      <c r="AE145" s="140" t="s">
        <v>128</v>
      </c>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ht="20" outlineLevel="1" x14ac:dyDescent="0.25">
      <c r="A146" s="141"/>
      <c r="B146" s="141"/>
      <c r="C146" s="179" t="s">
        <v>276</v>
      </c>
      <c r="D146" s="150"/>
      <c r="E146" s="155">
        <v>2.1302256974999998</v>
      </c>
      <c r="F146" s="158"/>
      <c r="G146" s="158"/>
      <c r="H146" s="158"/>
      <c r="I146" s="158"/>
      <c r="J146" s="158"/>
      <c r="K146" s="158"/>
      <c r="L146" s="158"/>
      <c r="M146" s="158"/>
      <c r="N146" s="148"/>
      <c r="O146" s="148"/>
      <c r="P146" s="148"/>
      <c r="Q146" s="148"/>
      <c r="R146" s="148"/>
      <c r="S146" s="148"/>
      <c r="T146" s="149"/>
      <c r="U146" s="148"/>
      <c r="V146" s="140"/>
      <c r="W146" s="140"/>
      <c r="X146" s="140"/>
      <c r="Y146" s="140"/>
      <c r="Z146" s="140"/>
      <c r="AA146" s="140"/>
      <c r="AB146" s="140"/>
      <c r="AC146" s="140"/>
      <c r="AD146" s="140"/>
      <c r="AE146" s="140" t="s">
        <v>130</v>
      </c>
      <c r="AF146" s="140">
        <v>0</v>
      </c>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x14ac:dyDescent="0.25">
      <c r="A147" s="141"/>
      <c r="B147" s="141"/>
      <c r="C147" s="179" t="s">
        <v>277</v>
      </c>
      <c r="D147" s="150"/>
      <c r="E147" s="155">
        <v>55.018839999999997</v>
      </c>
      <c r="F147" s="158"/>
      <c r="G147" s="158"/>
      <c r="H147" s="158"/>
      <c r="I147" s="158"/>
      <c r="J147" s="158"/>
      <c r="K147" s="158"/>
      <c r="L147" s="158"/>
      <c r="M147" s="158"/>
      <c r="N147" s="148"/>
      <c r="O147" s="148"/>
      <c r="P147" s="148"/>
      <c r="Q147" s="148"/>
      <c r="R147" s="148"/>
      <c r="S147" s="148"/>
      <c r="T147" s="149"/>
      <c r="U147" s="148"/>
      <c r="V147" s="140"/>
      <c r="W147" s="140"/>
      <c r="X147" s="140"/>
      <c r="Y147" s="140"/>
      <c r="Z147" s="140"/>
      <c r="AA147" s="140"/>
      <c r="AB147" s="140"/>
      <c r="AC147" s="140"/>
      <c r="AD147" s="140"/>
      <c r="AE147" s="140" t="s">
        <v>130</v>
      </c>
      <c r="AF147" s="140">
        <v>0</v>
      </c>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x14ac:dyDescent="0.25">
      <c r="A148" s="141">
        <v>48</v>
      </c>
      <c r="B148" s="141" t="s">
        <v>284</v>
      </c>
      <c r="C148" s="178" t="s">
        <v>285</v>
      </c>
      <c r="D148" s="147" t="s">
        <v>154</v>
      </c>
      <c r="E148" s="154">
        <v>57.149065697499999</v>
      </c>
      <c r="F148" s="157"/>
      <c r="G148" s="158">
        <f>ROUND(E148*F148,2)</f>
        <v>0</v>
      </c>
      <c r="H148" s="158"/>
      <c r="I148" s="158">
        <f>ROUND(E148*H148,2)</f>
        <v>0</v>
      </c>
      <c r="J148" s="158"/>
      <c r="K148" s="158">
        <f>ROUND(E148*J148,2)</f>
        <v>0</v>
      </c>
      <c r="L148" s="158">
        <v>21</v>
      </c>
      <c r="M148" s="158">
        <f>G148*(1+L148/100)</f>
        <v>0</v>
      </c>
      <c r="N148" s="148">
        <v>0</v>
      </c>
      <c r="O148" s="148">
        <f>ROUND(E148*N148,5)</f>
        <v>0</v>
      </c>
      <c r="P148" s="148">
        <v>0</v>
      </c>
      <c r="Q148" s="148">
        <f>ROUND(E148*P148,5)</f>
        <v>0</v>
      </c>
      <c r="R148" s="148"/>
      <c r="S148" s="148"/>
      <c r="T148" s="149">
        <v>0.49</v>
      </c>
      <c r="U148" s="148">
        <f>ROUND(E148*T148,2)</f>
        <v>28</v>
      </c>
      <c r="V148" s="140"/>
      <c r="W148" s="140"/>
      <c r="X148" s="140"/>
      <c r="Y148" s="140"/>
      <c r="Z148" s="140"/>
      <c r="AA148" s="140"/>
      <c r="AB148" s="140"/>
      <c r="AC148" s="140"/>
      <c r="AD148" s="140"/>
      <c r="AE148" s="140" t="s">
        <v>128</v>
      </c>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ht="20" outlineLevel="1" x14ac:dyDescent="0.25">
      <c r="A149" s="141"/>
      <c r="B149" s="141"/>
      <c r="C149" s="179" t="s">
        <v>276</v>
      </c>
      <c r="D149" s="150"/>
      <c r="E149" s="155">
        <v>2.1302256974999998</v>
      </c>
      <c r="F149" s="158"/>
      <c r="G149" s="158"/>
      <c r="H149" s="158"/>
      <c r="I149" s="158"/>
      <c r="J149" s="158"/>
      <c r="K149" s="158"/>
      <c r="L149" s="158"/>
      <c r="M149" s="158"/>
      <c r="N149" s="148"/>
      <c r="O149" s="148"/>
      <c r="P149" s="148"/>
      <c r="Q149" s="148"/>
      <c r="R149" s="148"/>
      <c r="S149" s="148"/>
      <c r="T149" s="149"/>
      <c r="U149" s="148"/>
      <c r="V149" s="140"/>
      <c r="W149" s="140"/>
      <c r="X149" s="140"/>
      <c r="Y149" s="140"/>
      <c r="Z149" s="140"/>
      <c r="AA149" s="140"/>
      <c r="AB149" s="140"/>
      <c r="AC149" s="140"/>
      <c r="AD149" s="140"/>
      <c r="AE149" s="140" t="s">
        <v>130</v>
      </c>
      <c r="AF149" s="140">
        <v>0</v>
      </c>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1" x14ac:dyDescent="0.25">
      <c r="A150" s="141"/>
      <c r="B150" s="141"/>
      <c r="C150" s="179" t="s">
        <v>277</v>
      </c>
      <c r="D150" s="150"/>
      <c r="E150" s="155">
        <v>55.018839999999997</v>
      </c>
      <c r="F150" s="158"/>
      <c r="G150" s="158"/>
      <c r="H150" s="158"/>
      <c r="I150" s="158"/>
      <c r="J150" s="158"/>
      <c r="K150" s="158"/>
      <c r="L150" s="158"/>
      <c r="M150" s="158"/>
      <c r="N150" s="148"/>
      <c r="O150" s="148"/>
      <c r="P150" s="148"/>
      <c r="Q150" s="148"/>
      <c r="R150" s="148"/>
      <c r="S150" s="148"/>
      <c r="T150" s="149"/>
      <c r="U150" s="148"/>
      <c r="V150" s="140"/>
      <c r="W150" s="140"/>
      <c r="X150" s="140"/>
      <c r="Y150" s="140"/>
      <c r="Z150" s="140"/>
      <c r="AA150" s="140"/>
      <c r="AB150" s="140"/>
      <c r="AC150" s="140"/>
      <c r="AD150" s="140"/>
      <c r="AE150" s="140" t="s">
        <v>130</v>
      </c>
      <c r="AF150" s="140">
        <v>0</v>
      </c>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x14ac:dyDescent="0.25">
      <c r="A151" s="141">
        <v>49</v>
      </c>
      <c r="B151" s="141" t="s">
        <v>286</v>
      </c>
      <c r="C151" s="178" t="s">
        <v>287</v>
      </c>
      <c r="D151" s="147" t="s">
        <v>154</v>
      </c>
      <c r="E151" s="154">
        <v>800.08691976499995</v>
      </c>
      <c r="F151" s="157"/>
      <c r="G151" s="158">
        <f>ROUND(E151*F151,2)</f>
        <v>0</v>
      </c>
      <c r="H151" s="158"/>
      <c r="I151" s="158">
        <f>ROUND(E151*H151,2)</f>
        <v>0</v>
      </c>
      <c r="J151" s="158"/>
      <c r="K151" s="158">
        <f>ROUND(E151*J151,2)</f>
        <v>0</v>
      </c>
      <c r="L151" s="158">
        <v>21</v>
      </c>
      <c r="M151" s="158">
        <f>G151*(1+L151/100)</f>
        <v>0</v>
      </c>
      <c r="N151" s="148">
        <v>0</v>
      </c>
      <c r="O151" s="148">
        <f>ROUND(E151*N151,5)</f>
        <v>0</v>
      </c>
      <c r="P151" s="148">
        <v>0</v>
      </c>
      <c r="Q151" s="148">
        <f>ROUND(E151*P151,5)</f>
        <v>0</v>
      </c>
      <c r="R151" s="148"/>
      <c r="S151" s="148"/>
      <c r="T151" s="149">
        <v>0</v>
      </c>
      <c r="U151" s="148">
        <f>ROUND(E151*T151,2)</f>
        <v>0</v>
      </c>
      <c r="V151" s="140"/>
      <c r="W151" s="140"/>
      <c r="X151" s="140"/>
      <c r="Y151" s="140"/>
      <c r="Z151" s="140"/>
      <c r="AA151" s="140"/>
      <c r="AB151" s="140"/>
      <c r="AC151" s="140"/>
      <c r="AD151" s="140"/>
      <c r="AE151" s="140" t="s">
        <v>128</v>
      </c>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0" outlineLevel="1" x14ac:dyDescent="0.25">
      <c r="A152" s="141"/>
      <c r="B152" s="141"/>
      <c r="C152" s="179" t="s">
        <v>288</v>
      </c>
      <c r="D152" s="150"/>
      <c r="E152" s="155">
        <v>29.823159765</v>
      </c>
      <c r="F152" s="158"/>
      <c r="G152" s="158"/>
      <c r="H152" s="158"/>
      <c r="I152" s="158"/>
      <c r="J152" s="158"/>
      <c r="K152" s="158"/>
      <c r="L152" s="158"/>
      <c r="M152" s="158"/>
      <c r="N152" s="148"/>
      <c r="O152" s="148"/>
      <c r="P152" s="148"/>
      <c r="Q152" s="148"/>
      <c r="R152" s="148"/>
      <c r="S152" s="148"/>
      <c r="T152" s="149"/>
      <c r="U152" s="148"/>
      <c r="V152" s="140"/>
      <c r="W152" s="140"/>
      <c r="X152" s="140"/>
      <c r="Y152" s="140"/>
      <c r="Z152" s="140"/>
      <c r="AA152" s="140"/>
      <c r="AB152" s="140"/>
      <c r="AC152" s="140"/>
      <c r="AD152" s="140"/>
      <c r="AE152" s="140" t="s">
        <v>130</v>
      </c>
      <c r="AF152" s="140">
        <v>0</v>
      </c>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1" x14ac:dyDescent="0.25">
      <c r="A153" s="141"/>
      <c r="B153" s="141"/>
      <c r="C153" s="179" t="s">
        <v>289</v>
      </c>
      <c r="D153" s="150"/>
      <c r="E153" s="155">
        <v>770.26376000000005</v>
      </c>
      <c r="F153" s="158"/>
      <c r="G153" s="158"/>
      <c r="H153" s="158"/>
      <c r="I153" s="158"/>
      <c r="J153" s="158"/>
      <c r="K153" s="158"/>
      <c r="L153" s="158"/>
      <c r="M153" s="158"/>
      <c r="N153" s="148"/>
      <c r="O153" s="148"/>
      <c r="P153" s="148"/>
      <c r="Q153" s="148"/>
      <c r="R153" s="148"/>
      <c r="S153" s="148"/>
      <c r="T153" s="149"/>
      <c r="U153" s="148"/>
      <c r="V153" s="140"/>
      <c r="W153" s="140"/>
      <c r="X153" s="140"/>
      <c r="Y153" s="140"/>
      <c r="Z153" s="140"/>
      <c r="AA153" s="140"/>
      <c r="AB153" s="140"/>
      <c r="AC153" s="140"/>
      <c r="AD153" s="140"/>
      <c r="AE153" s="140" t="s">
        <v>130</v>
      </c>
      <c r="AF153" s="140">
        <v>0</v>
      </c>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x14ac:dyDescent="0.25">
      <c r="A154" s="141">
        <v>50</v>
      </c>
      <c r="B154" s="141" t="s">
        <v>290</v>
      </c>
      <c r="C154" s="178" t="s">
        <v>291</v>
      </c>
      <c r="D154" s="147" t="s">
        <v>154</v>
      </c>
      <c r="E154" s="154">
        <v>56.458445697499997</v>
      </c>
      <c r="F154" s="157"/>
      <c r="G154" s="158">
        <f>ROUND(E154*F154,2)</f>
        <v>0</v>
      </c>
      <c r="H154" s="158"/>
      <c r="I154" s="158">
        <f>ROUND(E154*H154,2)</f>
        <v>0</v>
      </c>
      <c r="J154" s="158"/>
      <c r="K154" s="158">
        <f>ROUND(E154*J154,2)</f>
        <v>0</v>
      </c>
      <c r="L154" s="158">
        <v>21</v>
      </c>
      <c r="M154" s="158">
        <f>G154*(1+L154/100)</f>
        <v>0</v>
      </c>
      <c r="N154" s="148">
        <v>0</v>
      </c>
      <c r="O154" s="148">
        <f>ROUND(E154*N154,5)</f>
        <v>0</v>
      </c>
      <c r="P154" s="148">
        <v>0</v>
      </c>
      <c r="Q154" s="148">
        <f>ROUND(E154*P154,5)</f>
        <v>0</v>
      </c>
      <c r="R154" s="148"/>
      <c r="S154" s="148"/>
      <c r="T154" s="149">
        <v>0</v>
      </c>
      <c r="U154" s="148">
        <f>ROUND(E154*T154,2)</f>
        <v>0</v>
      </c>
      <c r="V154" s="140"/>
      <c r="W154" s="140"/>
      <c r="X154" s="140"/>
      <c r="Y154" s="140"/>
      <c r="Z154" s="140"/>
      <c r="AA154" s="140"/>
      <c r="AB154" s="140"/>
      <c r="AC154" s="140"/>
      <c r="AD154" s="140"/>
      <c r="AE154" s="140" t="s">
        <v>128</v>
      </c>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t="20" outlineLevel="1" x14ac:dyDescent="0.25">
      <c r="A155" s="141"/>
      <c r="B155" s="141"/>
      <c r="C155" s="179" t="s">
        <v>276</v>
      </c>
      <c r="D155" s="150"/>
      <c r="E155" s="155">
        <v>2.1302256974999998</v>
      </c>
      <c r="F155" s="158"/>
      <c r="G155" s="158"/>
      <c r="H155" s="158"/>
      <c r="I155" s="158"/>
      <c r="J155" s="158"/>
      <c r="K155" s="158"/>
      <c r="L155" s="158"/>
      <c r="M155" s="158"/>
      <c r="N155" s="148"/>
      <c r="O155" s="148"/>
      <c r="P155" s="148"/>
      <c r="Q155" s="148"/>
      <c r="R155" s="148"/>
      <c r="S155" s="148"/>
      <c r="T155" s="149"/>
      <c r="U155" s="148"/>
      <c r="V155" s="140"/>
      <c r="W155" s="140"/>
      <c r="X155" s="140"/>
      <c r="Y155" s="140"/>
      <c r="Z155" s="140"/>
      <c r="AA155" s="140"/>
      <c r="AB155" s="140"/>
      <c r="AC155" s="140"/>
      <c r="AD155" s="140"/>
      <c r="AE155" s="140" t="s">
        <v>130</v>
      </c>
      <c r="AF155" s="140">
        <v>0</v>
      </c>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1" x14ac:dyDescent="0.25">
      <c r="A156" s="141"/>
      <c r="B156" s="141"/>
      <c r="C156" s="179" t="s">
        <v>277</v>
      </c>
      <c r="D156" s="150"/>
      <c r="E156" s="155">
        <v>55.018839999999997</v>
      </c>
      <c r="F156" s="158"/>
      <c r="G156" s="158"/>
      <c r="H156" s="158"/>
      <c r="I156" s="158"/>
      <c r="J156" s="158"/>
      <c r="K156" s="158"/>
      <c r="L156" s="158"/>
      <c r="M156" s="158"/>
      <c r="N156" s="148"/>
      <c r="O156" s="148"/>
      <c r="P156" s="148"/>
      <c r="Q156" s="148"/>
      <c r="R156" s="148"/>
      <c r="S156" s="148"/>
      <c r="T156" s="149"/>
      <c r="U156" s="148"/>
      <c r="V156" s="140"/>
      <c r="W156" s="140"/>
      <c r="X156" s="140"/>
      <c r="Y156" s="140"/>
      <c r="Z156" s="140"/>
      <c r="AA156" s="140"/>
      <c r="AB156" s="140"/>
      <c r="AC156" s="140"/>
      <c r="AD156" s="140"/>
      <c r="AE156" s="140" t="s">
        <v>130</v>
      </c>
      <c r="AF156" s="140">
        <v>0</v>
      </c>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1" x14ac:dyDescent="0.25">
      <c r="A157" s="141"/>
      <c r="B157" s="141"/>
      <c r="C157" s="179" t="s">
        <v>292</v>
      </c>
      <c r="D157" s="150"/>
      <c r="E157" s="155">
        <v>-0.13435</v>
      </c>
      <c r="F157" s="158"/>
      <c r="G157" s="158"/>
      <c r="H157" s="158"/>
      <c r="I157" s="158"/>
      <c r="J157" s="158"/>
      <c r="K157" s="158"/>
      <c r="L157" s="158"/>
      <c r="M157" s="158"/>
      <c r="N157" s="148"/>
      <c r="O157" s="148"/>
      <c r="P157" s="148"/>
      <c r="Q157" s="148"/>
      <c r="R157" s="148"/>
      <c r="S157" s="148"/>
      <c r="T157" s="149"/>
      <c r="U157" s="148"/>
      <c r="V157" s="140"/>
      <c r="W157" s="140"/>
      <c r="X157" s="140"/>
      <c r="Y157" s="140"/>
      <c r="Z157" s="140"/>
      <c r="AA157" s="140"/>
      <c r="AB157" s="140"/>
      <c r="AC157" s="140"/>
      <c r="AD157" s="140"/>
      <c r="AE157" s="140" t="s">
        <v>130</v>
      </c>
      <c r="AF157" s="140">
        <v>0</v>
      </c>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1" x14ac:dyDescent="0.25">
      <c r="A158" s="141"/>
      <c r="B158" s="141"/>
      <c r="C158" s="179" t="s">
        <v>293</v>
      </c>
      <c r="D158" s="150"/>
      <c r="E158" s="155">
        <v>-8.3070000000000005E-2</v>
      </c>
      <c r="F158" s="158"/>
      <c r="G158" s="158"/>
      <c r="H158" s="158"/>
      <c r="I158" s="158"/>
      <c r="J158" s="158"/>
      <c r="K158" s="158"/>
      <c r="L158" s="158"/>
      <c r="M158" s="158"/>
      <c r="N158" s="148"/>
      <c r="O158" s="148"/>
      <c r="P158" s="148"/>
      <c r="Q158" s="148"/>
      <c r="R158" s="148"/>
      <c r="S158" s="148"/>
      <c r="T158" s="149"/>
      <c r="U158" s="148"/>
      <c r="V158" s="140"/>
      <c r="W158" s="140"/>
      <c r="X158" s="140"/>
      <c r="Y158" s="140"/>
      <c r="Z158" s="140"/>
      <c r="AA158" s="140"/>
      <c r="AB158" s="140"/>
      <c r="AC158" s="140"/>
      <c r="AD158" s="140"/>
      <c r="AE158" s="140" t="s">
        <v>130</v>
      </c>
      <c r="AF158" s="140">
        <v>0</v>
      </c>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1" x14ac:dyDescent="0.25">
      <c r="A159" s="141"/>
      <c r="B159" s="141"/>
      <c r="C159" s="179" t="s">
        <v>294</v>
      </c>
      <c r="D159" s="150"/>
      <c r="E159" s="155">
        <v>-0.47320000000000001</v>
      </c>
      <c r="F159" s="158"/>
      <c r="G159" s="158"/>
      <c r="H159" s="158"/>
      <c r="I159" s="158"/>
      <c r="J159" s="158"/>
      <c r="K159" s="158"/>
      <c r="L159" s="158"/>
      <c r="M159" s="158"/>
      <c r="N159" s="148"/>
      <c r="O159" s="148"/>
      <c r="P159" s="148"/>
      <c r="Q159" s="148"/>
      <c r="R159" s="148"/>
      <c r="S159" s="148"/>
      <c r="T159" s="149"/>
      <c r="U159" s="148"/>
      <c r="V159" s="140"/>
      <c r="W159" s="140"/>
      <c r="X159" s="140"/>
      <c r="Y159" s="140"/>
      <c r="Z159" s="140"/>
      <c r="AA159" s="140"/>
      <c r="AB159" s="140"/>
      <c r="AC159" s="140"/>
      <c r="AD159" s="140"/>
      <c r="AE159" s="140" t="s">
        <v>130</v>
      </c>
      <c r="AF159" s="140">
        <v>0</v>
      </c>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ht="20" outlineLevel="1" x14ac:dyDescent="0.25">
      <c r="A160" s="141">
        <v>51</v>
      </c>
      <c r="B160" s="141" t="s">
        <v>295</v>
      </c>
      <c r="C160" s="178" t="s">
        <v>296</v>
      </c>
      <c r="D160" s="147" t="s">
        <v>154</v>
      </c>
      <c r="E160" s="154">
        <v>0.13435</v>
      </c>
      <c r="F160" s="157"/>
      <c r="G160" s="158">
        <f>ROUND(E160*F160,2)</f>
        <v>0</v>
      </c>
      <c r="H160" s="158"/>
      <c r="I160" s="158">
        <f>ROUND(E160*H160,2)</f>
        <v>0</v>
      </c>
      <c r="J160" s="158"/>
      <c r="K160" s="158">
        <f>ROUND(E160*J160,2)</f>
        <v>0</v>
      </c>
      <c r="L160" s="158">
        <v>21</v>
      </c>
      <c r="M160" s="158">
        <f>G160*(1+L160/100)</f>
        <v>0</v>
      </c>
      <c r="N160" s="148">
        <v>0</v>
      </c>
      <c r="O160" s="148">
        <f>ROUND(E160*N160,5)</f>
        <v>0</v>
      </c>
      <c r="P160" s="148">
        <v>0</v>
      </c>
      <c r="Q160" s="148">
        <f>ROUND(E160*P160,5)</f>
        <v>0</v>
      </c>
      <c r="R160" s="148"/>
      <c r="S160" s="148"/>
      <c r="T160" s="149">
        <v>0</v>
      </c>
      <c r="U160" s="148">
        <f>ROUND(E160*T160,2)</f>
        <v>0</v>
      </c>
      <c r="V160" s="140"/>
      <c r="W160" s="140"/>
      <c r="X160" s="140"/>
      <c r="Y160" s="140"/>
      <c r="Z160" s="140"/>
      <c r="AA160" s="140"/>
      <c r="AB160" s="140"/>
      <c r="AC160" s="140"/>
      <c r="AD160" s="140"/>
      <c r="AE160" s="140" t="s">
        <v>128</v>
      </c>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1" x14ac:dyDescent="0.25">
      <c r="A161" s="141"/>
      <c r="B161" s="141"/>
      <c r="C161" s="179" t="s">
        <v>297</v>
      </c>
      <c r="D161" s="150"/>
      <c r="E161" s="155">
        <v>0.13435</v>
      </c>
      <c r="F161" s="158"/>
      <c r="G161" s="158"/>
      <c r="H161" s="158"/>
      <c r="I161" s="158"/>
      <c r="J161" s="158"/>
      <c r="K161" s="158"/>
      <c r="L161" s="158"/>
      <c r="M161" s="158"/>
      <c r="N161" s="148"/>
      <c r="O161" s="148"/>
      <c r="P161" s="148"/>
      <c r="Q161" s="148"/>
      <c r="R161" s="148"/>
      <c r="S161" s="148"/>
      <c r="T161" s="149"/>
      <c r="U161" s="148"/>
      <c r="V161" s="140"/>
      <c r="W161" s="140"/>
      <c r="X161" s="140"/>
      <c r="Y161" s="140"/>
      <c r="Z161" s="140"/>
      <c r="AA161" s="140"/>
      <c r="AB161" s="140"/>
      <c r="AC161" s="140"/>
      <c r="AD161" s="140"/>
      <c r="AE161" s="140" t="s">
        <v>130</v>
      </c>
      <c r="AF161" s="140">
        <v>0</v>
      </c>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0" outlineLevel="1" x14ac:dyDescent="0.25">
      <c r="A162" s="141">
        <v>52</v>
      </c>
      <c r="B162" s="141" t="s">
        <v>298</v>
      </c>
      <c r="C162" s="178" t="s">
        <v>299</v>
      </c>
      <c r="D162" s="147" t="s">
        <v>154</v>
      </c>
      <c r="E162" s="154">
        <v>8.3070000000000005E-2</v>
      </c>
      <c r="F162" s="157"/>
      <c r="G162" s="158">
        <f>ROUND(E162*F162,2)</f>
        <v>0</v>
      </c>
      <c r="H162" s="158"/>
      <c r="I162" s="158">
        <f>ROUND(E162*H162,2)</f>
        <v>0</v>
      </c>
      <c r="J162" s="158"/>
      <c r="K162" s="158">
        <f>ROUND(E162*J162,2)</f>
        <v>0</v>
      </c>
      <c r="L162" s="158">
        <v>21</v>
      </c>
      <c r="M162" s="158">
        <f>G162*(1+L162/100)</f>
        <v>0</v>
      </c>
      <c r="N162" s="148">
        <v>0</v>
      </c>
      <c r="O162" s="148">
        <f>ROUND(E162*N162,5)</f>
        <v>0</v>
      </c>
      <c r="P162" s="148">
        <v>0</v>
      </c>
      <c r="Q162" s="148">
        <f>ROUND(E162*P162,5)</f>
        <v>0</v>
      </c>
      <c r="R162" s="148"/>
      <c r="S162" s="148"/>
      <c r="T162" s="149">
        <v>0</v>
      </c>
      <c r="U162" s="148">
        <f>ROUND(E162*T162,2)</f>
        <v>0</v>
      </c>
      <c r="V162" s="140"/>
      <c r="W162" s="140"/>
      <c r="X162" s="140"/>
      <c r="Y162" s="140"/>
      <c r="Z162" s="140"/>
      <c r="AA162" s="140"/>
      <c r="AB162" s="140"/>
      <c r="AC162" s="140"/>
      <c r="AD162" s="140"/>
      <c r="AE162" s="140" t="s">
        <v>128</v>
      </c>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1" x14ac:dyDescent="0.25">
      <c r="A163" s="141"/>
      <c r="B163" s="141"/>
      <c r="C163" s="179" t="s">
        <v>300</v>
      </c>
      <c r="D163" s="150"/>
      <c r="E163" s="155">
        <v>8.3070000000000005E-2</v>
      </c>
      <c r="F163" s="158"/>
      <c r="G163" s="158"/>
      <c r="H163" s="158"/>
      <c r="I163" s="158"/>
      <c r="J163" s="158"/>
      <c r="K163" s="158"/>
      <c r="L163" s="158"/>
      <c r="M163" s="158"/>
      <c r="N163" s="148"/>
      <c r="O163" s="148"/>
      <c r="P163" s="148"/>
      <c r="Q163" s="148"/>
      <c r="R163" s="148"/>
      <c r="S163" s="148"/>
      <c r="T163" s="149"/>
      <c r="U163" s="148"/>
      <c r="V163" s="140"/>
      <c r="W163" s="140"/>
      <c r="X163" s="140"/>
      <c r="Y163" s="140"/>
      <c r="Z163" s="140"/>
      <c r="AA163" s="140"/>
      <c r="AB163" s="140"/>
      <c r="AC163" s="140"/>
      <c r="AD163" s="140"/>
      <c r="AE163" s="140" t="s">
        <v>130</v>
      </c>
      <c r="AF163" s="140">
        <v>0</v>
      </c>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ht="20" outlineLevel="1" x14ac:dyDescent="0.25">
      <c r="A164" s="141">
        <v>53</v>
      </c>
      <c r="B164" s="141" t="s">
        <v>301</v>
      </c>
      <c r="C164" s="178" t="s">
        <v>302</v>
      </c>
      <c r="D164" s="147" t="s">
        <v>154</v>
      </c>
      <c r="E164" s="154">
        <v>0.47320000000000001</v>
      </c>
      <c r="F164" s="157"/>
      <c r="G164" s="158">
        <f>ROUND(E164*F164,2)</f>
        <v>0</v>
      </c>
      <c r="H164" s="158"/>
      <c r="I164" s="158">
        <f>ROUND(E164*H164,2)</f>
        <v>0</v>
      </c>
      <c r="J164" s="158"/>
      <c r="K164" s="158">
        <f>ROUND(E164*J164,2)</f>
        <v>0</v>
      </c>
      <c r="L164" s="158">
        <v>21</v>
      </c>
      <c r="M164" s="158">
        <f>G164*(1+L164/100)</f>
        <v>0</v>
      </c>
      <c r="N164" s="148">
        <v>0</v>
      </c>
      <c r="O164" s="148">
        <f>ROUND(E164*N164,5)</f>
        <v>0</v>
      </c>
      <c r="P164" s="148">
        <v>0</v>
      </c>
      <c r="Q164" s="148">
        <f>ROUND(E164*P164,5)</f>
        <v>0</v>
      </c>
      <c r="R164" s="148"/>
      <c r="S164" s="148"/>
      <c r="T164" s="149">
        <v>0</v>
      </c>
      <c r="U164" s="148">
        <f>ROUND(E164*T164,2)</f>
        <v>0</v>
      </c>
      <c r="V164" s="140"/>
      <c r="W164" s="140"/>
      <c r="X164" s="140"/>
      <c r="Y164" s="140"/>
      <c r="Z164" s="140"/>
      <c r="AA164" s="140"/>
      <c r="AB164" s="140"/>
      <c r="AC164" s="140"/>
      <c r="AD164" s="140"/>
      <c r="AE164" s="140" t="s">
        <v>128</v>
      </c>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1" x14ac:dyDescent="0.25">
      <c r="A165" s="141"/>
      <c r="B165" s="141"/>
      <c r="C165" s="179" t="s">
        <v>303</v>
      </c>
      <c r="D165" s="150"/>
      <c r="E165" s="155">
        <v>0.47320000000000001</v>
      </c>
      <c r="F165" s="158"/>
      <c r="G165" s="158"/>
      <c r="H165" s="158"/>
      <c r="I165" s="158"/>
      <c r="J165" s="158"/>
      <c r="K165" s="158"/>
      <c r="L165" s="158"/>
      <c r="M165" s="158"/>
      <c r="N165" s="148"/>
      <c r="O165" s="148"/>
      <c r="P165" s="148"/>
      <c r="Q165" s="148"/>
      <c r="R165" s="148"/>
      <c r="S165" s="148"/>
      <c r="T165" s="149"/>
      <c r="U165" s="148"/>
      <c r="V165" s="140"/>
      <c r="W165" s="140"/>
      <c r="X165" s="140"/>
      <c r="Y165" s="140"/>
      <c r="Z165" s="140"/>
      <c r="AA165" s="140"/>
      <c r="AB165" s="140"/>
      <c r="AC165" s="140"/>
      <c r="AD165" s="140"/>
      <c r="AE165" s="140" t="s">
        <v>130</v>
      </c>
      <c r="AF165" s="140">
        <v>0</v>
      </c>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x14ac:dyDescent="0.25">
      <c r="A166" s="142" t="s">
        <v>123</v>
      </c>
      <c r="B166" s="142" t="s">
        <v>70</v>
      </c>
      <c r="C166" s="180" t="s">
        <v>71</v>
      </c>
      <c r="D166" s="151"/>
      <c r="E166" s="156"/>
      <c r="F166" s="159"/>
      <c r="G166" s="159">
        <f>SUMIF(AE167:AE168,"&lt;&gt;NOR",G167:G168)</f>
        <v>0</v>
      </c>
      <c r="H166" s="159"/>
      <c r="I166" s="159">
        <f>SUM(I167:I168)</f>
        <v>0</v>
      </c>
      <c r="J166" s="159"/>
      <c r="K166" s="159">
        <f>SUM(K167:K168)</f>
        <v>0</v>
      </c>
      <c r="L166" s="159"/>
      <c r="M166" s="159">
        <f>SUM(M167:M168)</f>
        <v>0</v>
      </c>
      <c r="N166" s="152"/>
      <c r="O166" s="152">
        <f>SUM(O167:O168)</f>
        <v>0</v>
      </c>
      <c r="P166" s="152"/>
      <c r="Q166" s="152">
        <f>SUM(Q167:Q168)</f>
        <v>0</v>
      </c>
      <c r="R166" s="152"/>
      <c r="S166" s="152"/>
      <c r="T166" s="153"/>
      <c r="U166" s="152">
        <f>SUM(U167:U168)</f>
        <v>36.28</v>
      </c>
      <c r="AE166" t="s">
        <v>124</v>
      </c>
    </row>
    <row r="167" spans="1:60" outlineLevel="1" x14ac:dyDescent="0.25">
      <c r="A167" s="141">
        <v>54</v>
      </c>
      <c r="B167" s="141" t="s">
        <v>304</v>
      </c>
      <c r="C167" s="178" t="s">
        <v>305</v>
      </c>
      <c r="D167" s="147" t="s">
        <v>154</v>
      </c>
      <c r="E167" s="154">
        <v>17.275729999999999</v>
      </c>
      <c r="F167" s="157"/>
      <c r="G167" s="158">
        <f>ROUND(E167*F167,2)</f>
        <v>0</v>
      </c>
      <c r="H167" s="158"/>
      <c r="I167" s="158">
        <f>ROUND(E167*H167,2)</f>
        <v>0</v>
      </c>
      <c r="J167" s="158"/>
      <c r="K167" s="158">
        <f>ROUND(E167*J167,2)</f>
        <v>0</v>
      </c>
      <c r="L167" s="158">
        <v>21</v>
      </c>
      <c r="M167" s="158">
        <f>G167*(1+L167/100)</f>
        <v>0</v>
      </c>
      <c r="N167" s="148">
        <v>0</v>
      </c>
      <c r="O167" s="148">
        <f>ROUND(E167*N167,5)</f>
        <v>0</v>
      </c>
      <c r="P167" s="148">
        <v>0</v>
      </c>
      <c r="Q167" s="148">
        <f>ROUND(E167*P167,5)</f>
        <v>0</v>
      </c>
      <c r="R167" s="148"/>
      <c r="S167" s="148"/>
      <c r="T167" s="149">
        <v>2.1</v>
      </c>
      <c r="U167" s="148">
        <f>ROUND(E167*T167,2)</f>
        <v>36.28</v>
      </c>
      <c r="V167" s="140"/>
      <c r="W167" s="140"/>
      <c r="X167" s="140"/>
      <c r="Y167" s="140"/>
      <c r="Z167" s="140"/>
      <c r="AA167" s="140"/>
      <c r="AB167" s="140"/>
      <c r="AC167" s="140"/>
      <c r="AD167" s="140"/>
      <c r="AE167" s="140" t="s">
        <v>128</v>
      </c>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ht="20" outlineLevel="1" x14ac:dyDescent="0.25">
      <c r="A168" s="141"/>
      <c r="B168" s="141"/>
      <c r="C168" s="179" t="s">
        <v>306</v>
      </c>
      <c r="D168" s="150"/>
      <c r="E168" s="155">
        <v>17.275729999999999</v>
      </c>
      <c r="F168" s="158"/>
      <c r="G168" s="158"/>
      <c r="H168" s="158"/>
      <c r="I168" s="158"/>
      <c r="J168" s="158"/>
      <c r="K168" s="158"/>
      <c r="L168" s="158"/>
      <c r="M168" s="158"/>
      <c r="N168" s="148"/>
      <c r="O168" s="148"/>
      <c r="P168" s="148"/>
      <c r="Q168" s="148"/>
      <c r="R168" s="148"/>
      <c r="S168" s="148"/>
      <c r="T168" s="149"/>
      <c r="U168" s="148"/>
      <c r="V168" s="140"/>
      <c r="W168" s="140"/>
      <c r="X168" s="140"/>
      <c r="Y168" s="140"/>
      <c r="Z168" s="140"/>
      <c r="AA168" s="140"/>
      <c r="AB168" s="140"/>
      <c r="AC168" s="140"/>
      <c r="AD168" s="140"/>
      <c r="AE168" s="140" t="s">
        <v>130</v>
      </c>
      <c r="AF168" s="140">
        <v>0</v>
      </c>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x14ac:dyDescent="0.25">
      <c r="A169" s="142" t="s">
        <v>123</v>
      </c>
      <c r="B169" s="142" t="s">
        <v>72</v>
      </c>
      <c r="C169" s="180" t="s">
        <v>73</v>
      </c>
      <c r="D169" s="151"/>
      <c r="E169" s="156"/>
      <c r="F169" s="159"/>
      <c r="G169" s="159">
        <f>SUMIF(AE170:AE184,"&lt;&gt;NOR",G170:G184)</f>
        <v>0</v>
      </c>
      <c r="H169" s="159"/>
      <c r="I169" s="159">
        <f>SUM(I170:I184)</f>
        <v>0</v>
      </c>
      <c r="J169" s="159"/>
      <c r="K169" s="159">
        <f>SUM(K170:K184)</f>
        <v>0</v>
      </c>
      <c r="L169" s="159"/>
      <c r="M169" s="159">
        <f>SUM(M170:M184)</f>
        <v>0</v>
      </c>
      <c r="N169" s="152"/>
      <c r="O169" s="152">
        <f>SUM(O170:O184)</f>
        <v>4.8780000000000004E-2</v>
      </c>
      <c r="P169" s="152"/>
      <c r="Q169" s="152">
        <f>SUM(Q170:Q184)</f>
        <v>0</v>
      </c>
      <c r="R169" s="152"/>
      <c r="S169" s="152"/>
      <c r="T169" s="153"/>
      <c r="U169" s="152">
        <f>SUM(U170:U184)</f>
        <v>17</v>
      </c>
      <c r="AE169" t="s">
        <v>124</v>
      </c>
    </row>
    <row r="170" spans="1:60" ht="20" outlineLevel="1" x14ac:dyDescent="0.25">
      <c r="A170" s="141">
        <v>55</v>
      </c>
      <c r="B170" s="141" t="s">
        <v>307</v>
      </c>
      <c r="C170" s="178" t="s">
        <v>308</v>
      </c>
      <c r="D170" s="147" t="s">
        <v>139</v>
      </c>
      <c r="E170" s="154">
        <v>3.4475250000000002</v>
      </c>
      <c r="F170" s="157"/>
      <c r="G170" s="158">
        <f>ROUND(E170*F170,2)</f>
        <v>0</v>
      </c>
      <c r="H170" s="158"/>
      <c r="I170" s="158">
        <f>ROUND(E170*H170,2)</f>
        <v>0</v>
      </c>
      <c r="J170" s="158"/>
      <c r="K170" s="158">
        <f>ROUND(E170*J170,2)</f>
        <v>0</v>
      </c>
      <c r="L170" s="158">
        <v>21</v>
      </c>
      <c r="M170" s="158">
        <f>G170*(1+L170/100)</f>
        <v>0</v>
      </c>
      <c r="N170" s="148">
        <v>2.9999999999999997E-4</v>
      </c>
      <c r="O170" s="148">
        <f>ROUND(E170*N170,5)</f>
        <v>1.0300000000000001E-3</v>
      </c>
      <c r="P170" s="148">
        <v>0</v>
      </c>
      <c r="Q170" s="148">
        <f>ROUND(E170*P170,5)</f>
        <v>0</v>
      </c>
      <c r="R170" s="148"/>
      <c r="S170" s="148"/>
      <c r="T170" s="149">
        <v>0.03</v>
      </c>
      <c r="U170" s="148">
        <f>ROUND(E170*T170,2)</f>
        <v>0.1</v>
      </c>
      <c r="V170" s="140"/>
      <c r="W170" s="140"/>
      <c r="X170" s="140"/>
      <c r="Y170" s="140"/>
      <c r="Z170" s="140"/>
      <c r="AA170" s="140"/>
      <c r="AB170" s="140"/>
      <c r="AC170" s="140"/>
      <c r="AD170" s="140"/>
      <c r="AE170" s="140" t="s">
        <v>128</v>
      </c>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t="20" outlineLevel="1" x14ac:dyDescent="0.25">
      <c r="A171" s="141"/>
      <c r="B171" s="141"/>
      <c r="C171" s="179" t="s">
        <v>309</v>
      </c>
      <c r="D171" s="150"/>
      <c r="E171" s="155">
        <v>3.4475250000000002</v>
      </c>
      <c r="F171" s="158"/>
      <c r="G171" s="158"/>
      <c r="H171" s="158"/>
      <c r="I171" s="158"/>
      <c r="J171" s="158"/>
      <c r="K171" s="158"/>
      <c r="L171" s="158"/>
      <c r="M171" s="158"/>
      <c r="N171" s="148"/>
      <c r="O171" s="148"/>
      <c r="P171" s="148"/>
      <c r="Q171" s="148"/>
      <c r="R171" s="148"/>
      <c r="S171" s="148"/>
      <c r="T171" s="149"/>
      <c r="U171" s="148"/>
      <c r="V171" s="140"/>
      <c r="W171" s="140"/>
      <c r="X171" s="140"/>
      <c r="Y171" s="140"/>
      <c r="Z171" s="140"/>
      <c r="AA171" s="140"/>
      <c r="AB171" s="140"/>
      <c r="AC171" s="140"/>
      <c r="AD171" s="140"/>
      <c r="AE171" s="140" t="s">
        <v>130</v>
      </c>
      <c r="AF171" s="140">
        <v>0</v>
      </c>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ht="20" outlineLevel="1" x14ac:dyDescent="0.25">
      <c r="A172" s="141">
        <v>56</v>
      </c>
      <c r="B172" s="141" t="s">
        <v>310</v>
      </c>
      <c r="C172" s="178" t="s">
        <v>311</v>
      </c>
      <c r="D172" s="147" t="s">
        <v>139</v>
      </c>
      <c r="E172" s="154">
        <v>5.1712875</v>
      </c>
      <c r="F172" s="157"/>
      <c r="G172" s="158">
        <f>ROUND(E172*F172,2)</f>
        <v>0</v>
      </c>
      <c r="H172" s="158"/>
      <c r="I172" s="158">
        <f>ROUND(E172*H172,2)</f>
        <v>0</v>
      </c>
      <c r="J172" s="158"/>
      <c r="K172" s="158">
        <f>ROUND(E172*J172,2)</f>
        <v>0</v>
      </c>
      <c r="L172" s="158">
        <v>21</v>
      </c>
      <c r="M172" s="158">
        <f>G172*(1+L172/100)</f>
        <v>0</v>
      </c>
      <c r="N172" s="148">
        <v>5.0099999999999997E-3</v>
      </c>
      <c r="O172" s="148">
        <f>ROUND(E172*N172,5)</f>
        <v>2.5909999999999999E-2</v>
      </c>
      <c r="P172" s="148">
        <v>0</v>
      </c>
      <c r="Q172" s="148">
        <f>ROUND(E172*P172,5)</f>
        <v>0</v>
      </c>
      <c r="R172" s="148"/>
      <c r="S172" s="148"/>
      <c r="T172" s="149">
        <v>0.23</v>
      </c>
      <c r="U172" s="148">
        <f>ROUND(E172*T172,2)</f>
        <v>1.19</v>
      </c>
      <c r="V172" s="140"/>
      <c r="W172" s="140"/>
      <c r="X172" s="140"/>
      <c r="Y172" s="140"/>
      <c r="Z172" s="140"/>
      <c r="AA172" s="140"/>
      <c r="AB172" s="140"/>
      <c r="AC172" s="140"/>
      <c r="AD172" s="140"/>
      <c r="AE172" s="140" t="s">
        <v>128</v>
      </c>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ht="20" outlineLevel="1" x14ac:dyDescent="0.25">
      <c r="A173" s="141"/>
      <c r="B173" s="141"/>
      <c r="C173" s="179" t="s">
        <v>312</v>
      </c>
      <c r="D173" s="150"/>
      <c r="E173" s="155">
        <v>5.1712875</v>
      </c>
      <c r="F173" s="158"/>
      <c r="G173" s="158"/>
      <c r="H173" s="158"/>
      <c r="I173" s="158"/>
      <c r="J173" s="158"/>
      <c r="K173" s="158"/>
      <c r="L173" s="158"/>
      <c r="M173" s="158"/>
      <c r="N173" s="148"/>
      <c r="O173" s="148"/>
      <c r="P173" s="148"/>
      <c r="Q173" s="148"/>
      <c r="R173" s="148"/>
      <c r="S173" s="148"/>
      <c r="T173" s="149"/>
      <c r="U173" s="148"/>
      <c r="V173" s="140"/>
      <c r="W173" s="140"/>
      <c r="X173" s="140"/>
      <c r="Y173" s="140"/>
      <c r="Z173" s="140"/>
      <c r="AA173" s="140"/>
      <c r="AB173" s="140"/>
      <c r="AC173" s="140"/>
      <c r="AD173" s="140"/>
      <c r="AE173" s="140" t="s">
        <v>130</v>
      </c>
      <c r="AF173" s="140">
        <v>0</v>
      </c>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1" x14ac:dyDescent="0.25">
      <c r="A174" s="141">
        <v>57</v>
      </c>
      <c r="B174" s="141" t="s">
        <v>313</v>
      </c>
      <c r="C174" s="178" t="s">
        <v>314</v>
      </c>
      <c r="D174" s="147" t="s">
        <v>203</v>
      </c>
      <c r="E174" s="154">
        <v>16.760000000000002</v>
      </c>
      <c r="F174" s="157"/>
      <c r="G174" s="158">
        <f>ROUND(E174*F174,2)</f>
        <v>0</v>
      </c>
      <c r="H174" s="158"/>
      <c r="I174" s="158">
        <f>ROUND(E174*H174,2)</f>
        <v>0</v>
      </c>
      <c r="J174" s="158"/>
      <c r="K174" s="158">
        <f>ROUND(E174*J174,2)</f>
        <v>0</v>
      </c>
      <c r="L174" s="158">
        <v>21</v>
      </c>
      <c r="M174" s="158">
        <f>G174*(1+L174/100)</f>
        <v>0</v>
      </c>
      <c r="N174" s="148">
        <v>0</v>
      </c>
      <c r="O174" s="148">
        <f>ROUND(E174*N174,5)</f>
        <v>0</v>
      </c>
      <c r="P174" s="148">
        <v>0</v>
      </c>
      <c r="Q174" s="148">
        <f>ROUND(E174*P174,5)</f>
        <v>0</v>
      </c>
      <c r="R174" s="148"/>
      <c r="S174" s="148"/>
      <c r="T174" s="149">
        <v>0.46</v>
      </c>
      <c r="U174" s="148">
        <f>ROUND(E174*T174,2)</f>
        <v>7.71</v>
      </c>
      <c r="V174" s="140"/>
      <c r="W174" s="140"/>
      <c r="X174" s="140"/>
      <c r="Y174" s="140"/>
      <c r="Z174" s="140"/>
      <c r="AA174" s="140"/>
      <c r="AB174" s="140"/>
      <c r="AC174" s="140"/>
      <c r="AD174" s="140"/>
      <c r="AE174" s="140" t="s">
        <v>128</v>
      </c>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20" outlineLevel="1" x14ac:dyDescent="0.25">
      <c r="A175" s="141"/>
      <c r="B175" s="141"/>
      <c r="C175" s="179" t="s">
        <v>315</v>
      </c>
      <c r="D175" s="150"/>
      <c r="E175" s="155">
        <v>16.760000000000002</v>
      </c>
      <c r="F175" s="158"/>
      <c r="G175" s="158"/>
      <c r="H175" s="158"/>
      <c r="I175" s="158"/>
      <c r="J175" s="158"/>
      <c r="K175" s="158"/>
      <c r="L175" s="158"/>
      <c r="M175" s="158"/>
      <c r="N175" s="148"/>
      <c r="O175" s="148"/>
      <c r="P175" s="148"/>
      <c r="Q175" s="148"/>
      <c r="R175" s="148"/>
      <c r="S175" s="148"/>
      <c r="T175" s="149"/>
      <c r="U175" s="148"/>
      <c r="V175" s="140"/>
      <c r="W175" s="140"/>
      <c r="X175" s="140"/>
      <c r="Y175" s="140"/>
      <c r="Z175" s="140"/>
      <c r="AA175" s="140"/>
      <c r="AB175" s="140"/>
      <c r="AC175" s="140"/>
      <c r="AD175" s="140"/>
      <c r="AE175" s="140" t="s">
        <v>130</v>
      </c>
      <c r="AF175" s="140">
        <v>0</v>
      </c>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1" x14ac:dyDescent="0.25">
      <c r="A176" s="141">
        <v>58</v>
      </c>
      <c r="B176" s="141" t="s">
        <v>316</v>
      </c>
      <c r="C176" s="178" t="s">
        <v>317</v>
      </c>
      <c r="D176" s="147" t="s">
        <v>136</v>
      </c>
      <c r="E176" s="154">
        <v>5</v>
      </c>
      <c r="F176" s="157"/>
      <c r="G176" s="158">
        <f>ROUND(E176*F176,2)</f>
        <v>0</v>
      </c>
      <c r="H176" s="158"/>
      <c r="I176" s="158">
        <f>ROUND(E176*H176,2)</f>
        <v>0</v>
      </c>
      <c r="J176" s="158"/>
      <c r="K176" s="158">
        <f>ROUND(E176*J176,2)</f>
        <v>0</v>
      </c>
      <c r="L176" s="158">
        <v>21</v>
      </c>
      <c r="M176" s="158">
        <f>G176*(1+L176/100)</f>
        <v>0</v>
      </c>
      <c r="N176" s="148">
        <v>1.8000000000000001E-4</v>
      </c>
      <c r="O176" s="148">
        <f>ROUND(E176*N176,5)</f>
        <v>8.9999999999999998E-4</v>
      </c>
      <c r="P176" s="148">
        <v>0</v>
      </c>
      <c r="Q176" s="148">
        <f>ROUND(E176*P176,5)</f>
        <v>0</v>
      </c>
      <c r="R176" s="148"/>
      <c r="S176" s="148"/>
      <c r="T176" s="149">
        <v>0.86</v>
      </c>
      <c r="U176" s="148">
        <f>ROUND(E176*T176,2)</f>
        <v>4.3</v>
      </c>
      <c r="V176" s="140"/>
      <c r="W176" s="140"/>
      <c r="X176" s="140"/>
      <c r="Y176" s="140"/>
      <c r="Z176" s="140"/>
      <c r="AA176" s="140"/>
      <c r="AB176" s="140"/>
      <c r="AC176" s="140"/>
      <c r="AD176" s="140"/>
      <c r="AE176" s="140" t="s">
        <v>128</v>
      </c>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1" x14ac:dyDescent="0.25">
      <c r="A177" s="141"/>
      <c r="B177" s="141"/>
      <c r="C177" s="179" t="s">
        <v>318</v>
      </c>
      <c r="D177" s="150"/>
      <c r="E177" s="155">
        <v>5</v>
      </c>
      <c r="F177" s="158"/>
      <c r="G177" s="158"/>
      <c r="H177" s="158"/>
      <c r="I177" s="158"/>
      <c r="J177" s="158"/>
      <c r="K177" s="158"/>
      <c r="L177" s="158"/>
      <c r="M177" s="158"/>
      <c r="N177" s="148"/>
      <c r="O177" s="148"/>
      <c r="P177" s="148"/>
      <c r="Q177" s="148"/>
      <c r="R177" s="148"/>
      <c r="S177" s="148"/>
      <c r="T177" s="149"/>
      <c r="U177" s="148"/>
      <c r="V177" s="140"/>
      <c r="W177" s="140"/>
      <c r="X177" s="140"/>
      <c r="Y177" s="140"/>
      <c r="Z177" s="140"/>
      <c r="AA177" s="140"/>
      <c r="AB177" s="140"/>
      <c r="AC177" s="140"/>
      <c r="AD177" s="140"/>
      <c r="AE177" s="140" t="s">
        <v>130</v>
      </c>
      <c r="AF177" s="140">
        <v>0</v>
      </c>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1" x14ac:dyDescent="0.25">
      <c r="A178" s="141">
        <v>59</v>
      </c>
      <c r="B178" s="141" t="s">
        <v>319</v>
      </c>
      <c r="C178" s="178" t="s">
        <v>320</v>
      </c>
      <c r="D178" s="147" t="s">
        <v>139</v>
      </c>
      <c r="E178" s="154">
        <v>5.8</v>
      </c>
      <c r="F178" s="157"/>
      <c r="G178" s="158">
        <f>ROUND(E178*F178,2)</f>
        <v>0</v>
      </c>
      <c r="H178" s="158"/>
      <c r="I178" s="158">
        <f>ROUND(E178*H178,2)</f>
        <v>0</v>
      </c>
      <c r="J178" s="158"/>
      <c r="K178" s="158">
        <f>ROUND(E178*J178,2)</f>
        <v>0</v>
      </c>
      <c r="L178" s="158">
        <v>21</v>
      </c>
      <c r="M178" s="158">
        <f>G178*(1+L178/100)</f>
        <v>0</v>
      </c>
      <c r="N178" s="148">
        <v>2.1000000000000001E-4</v>
      </c>
      <c r="O178" s="148">
        <f>ROUND(E178*N178,5)</f>
        <v>1.2199999999999999E-3</v>
      </c>
      <c r="P178" s="148">
        <v>0</v>
      </c>
      <c r="Q178" s="148">
        <f>ROUND(E178*P178,5)</f>
        <v>0</v>
      </c>
      <c r="R178" s="148"/>
      <c r="S178" s="148"/>
      <c r="T178" s="149">
        <v>9.5000000000000001E-2</v>
      </c>
      <c r="U178" s="148">
        <f>ROUND(E178*T178,2)</f>
        <v>0.55000000000000004</v>
      </c>
      <c r="V178" s="140"/>
      <c r="W178" s="140"/>
      <c r="X178" s="140"/>
      <c r="Y178" s="140"/>
      <c r="Z178" s="140"/>
      <c r="AA178" s="140"/>
      <c r="AB178" s="140"/>
      <c r="AC178" s="140"/>
      <c r="AD178" s="140"/>
      <c r="AE178" s="140" t="s">
        <v>128</v>
      </c>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x14ac:dyDescent="0.25">
      <c r="A179" s="141"/>
      <c r="B179" s="141"/>
      <c r="C179" s="179" t="s">
        <v>321</v>
      </c>
      <c r="D179" s="150"/>
      <c r="E179" s="155">
        <v>5.8</v>
      </c>
      <c r="F179" s="158"/>
      <c r="G179" s="158"/>
      <c r="H179" s="158"/>
      <c r="I179" s="158"/>
      <c r="J179" s="158"/>
      <c r="K179" s="158"/>
      <c r="L179" s="158"/>
      <c r="M179" s="158"/>
      <c r="N179" s="148"/>
      <c r="O179" s="148"/>
      <c r="P179" s="148"/>
      <c r="Q179" s="148"/>
      <c r="R179" s="148"/>
      <c r="S179" s="148"/>
      <c r="T179" s="149"/>
      <c r="U179" s="148"/>
      <c r="V179" s="140"/>
      <c r="W179" s="140"/>
      <c r="X179" s="140"/>
      <c r="Y179" s="140"/>
      <c r="Z179" s="140"/>
      <c r="AA179" s="140"/>
      <c r="AB179" s="140"/>
      <c r="AC179" s="140"/>
      <c r="AD179" s="140"/>
      <c r="AE179" s="140" t="s">
        <v>130</v>
      </c>
      <c r="AF179" s="140">
        <v>0</v>
      </c>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1" x14ac:dyDescent="0.25">
      <c r="A180" s="141">
        <v>60</v>
      </c>
      <c r="B180" s="141" t="s">
        <v>322</v>
      </c>
      <c r="C180" s="178" t="s">
        <v>323</v>
      </c>
      <c r="D180" s="147" t="s">
        <v>139</v>
      </c>
      <c r="E180" s="154">
        <v>5.8</v>
      </c>
      <c r="F180" s="157"/>
      <c r="G180" s="158">
        <f>ROUND(E180*F180,2)</f>
        <v>0</v>
      </c>
      <c r="H180" s="158"/>
      <c r="I180" s="158">
        <f>ROUND(E180*H180,2)</f>
        <v>0</v>
      </c>
      <c r="J180" s="158"/>
      <c r="K180" s="158">
        <f>ROUND(E180*J180,2)</f>
        <v>0</v>
      </c>
      <c r="L180" s="158">
        <v>21</v>
      </c>
      <c r="M180" s="158">
        <f>G180*(1+L180/100)</f>
        <v>0</v>
      </c>
      <c r="N180" s="148">
        <v>3.3999999999999998E-3</v>
      </c>
      <c r="O180" s="148">
        <f>ROUND(E180*N180,5)</f>
        <v>1.9720000000000001E-2</v>
      </c>
      <c r="P180" s="148">
        <v>0</v>
      </c>
      <c r="Q180" s="148">
        <f>ROUND(E180*P180,5)</f>
        <v>0</v>
      </c>
      <c r="R180" s="148"/>
      <c r="S180" s="148"/>
      <c r="T180" s="149">
        <v>0.46</v>
      </c>
      <c r="U180" s="148">
        <f>ROUND(E180*T180,2)</f>
        <v>2.67</v>
      </c>
      <c r="V180" s="140"/>
      <c r="W180" s="140"/>
      <c r="X180" s="140"/>
      <c r="Y180" s="140"/>
      <c r="Z180" s="140"/>
      <c r="AA180" s="140"/>
      <c r="AB180" s="140"/>
      <c r="AC180" s="140"/>
      <c r="AD180" s="140"/>
      <c r="AE180" s="140" t="s">
        <v>128</v>
      </c>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x14ac:dyDescent="0.25">
      <c r="A181" s="141"/>
      <c r="B181" s="141"/>
      <c r="C181" s="179" t="s">
        <v>321</v>
      </c>
      <c r="D181" s="150"/>
      <c r="E181" s="155">
        <v>5.8</v>
      </c>
      <c r="F181" s="158"/>
      <c r="G181" s="158"/>
      <c r="H181" s="158"/>
      <c r="I181" s="158"/>
      <c r="J181" s="158"/>
      <c r="K181" s="158"/>
      <c r="L181" s="158"/>
      <c r="M181" s="158"/>
      <c r="N181" s="148"/>
      <c r="O181" s="148"/>
      <c r="P181" s="148"/>
      <c r="Q181" s="148"/>
      <c r="R181" s="148"/>
      <c r="S181" s="148"/>
      <c r="T181" s="149"/>
      <c r="U181" s="148"/>
      <c r="V181" s="140"/>
      <c r="W181" s="140"/>
      <c r="X181" s="140"/>
      <c r="Y181" s="140"/>
      <c r="Z181" s="140"/>
      <c r="AA181" s="140"/>
      <c r="AB181" s="140"/>
      <c r="AC181" s="140"/>
      <c r="AD181" s="140"/>
      <c r="AE181" s="140" t="s">
        <v>130</v>
      </c>
      <c r="AF181" s="140">
        <v>0</v>
      </c>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1" x14ac:dyDescent="0.25">
      <c r="A182" s="141">
        <v>61</v>
      </c>
      <c r="B182" s="141" t="s">
        <v>324</v>
      </c>
      <c r="C182" s="178" t="s">
        <v>325</v>
      </c>
      <c r="D182" s="147" t="s">
        <v>203</v>
      </c>
      <c r="E182" s="154">
        <v>4.4000000000000004</v>
      </c>
      <c r="F182" s="157"/>
      <c r="G182" s="158">
        <f>ROUND(E182*F182,2)</f>
        <v>0</v>
      </c>
      <c r="H182" s="158"/>
      <c r="I182" s="158">
        <f>ROUND(E182*H182,2)</f>
        <v>0</v>
      </c>
      <c r="J182" s="158"/>
      <c r="K182" s="158">
        <f>ROUND(E182*J182,2)</f>
        <v>0</v>
      </c>
      <c r="L182" s="158">
        <v>21</v>
      </c>
      <c r="M182" s="158">
        <f>G182*(1+L182/100)</f>
        <v>0</v>
      </c>
      <c r="N182" s="148">
        <v>0</v>
      </c>
      <c r="O182" s="148">
        <f>ROUND(E182*N182,5)</f>
        <v>0</v>
      </c>
      <c r="P182" s="148">
        <v>0</v>
      </c>
      <c r="Q182" s="148">
        <f>ROUND(E182*P182,5)</f>
        <v>0</v>
      </c>
      <c r="R182" s="148"/>
      <c r="S182" s="148"/>
      <c r="T182" s="149">
        <v>0.09</v>
      </c>
      <c r="U182" s="148">
        <f>ROUND(E182*T182,2)</f>
        <v>0.4</v>
      </c>
      <c r="V182" s="140"/>
      <c r="W182" s="140"/>
      <c r="X182" s="140"/>
      <c r="Y182" s="140"/>
      <c r="Z182" s="140"/>
      <c r="AA182" s="140"/>
      <c r="AB182" s="140"/>
      <c r="AC182" s="140"/>
      <c r="AD182" s="140"/>
      <c r="AE182" s="140" t="s">
        <v>128</v>
      </c>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1" x14ac:dyDescent="0.25">
      <c r="A183" s="141"/>
      <c r="B183" s="141"/>
      <c r="C183" s="179" t="s">
        <v>326</v>
      </c>
      <c r="D183" s="150"/>
      <c r="E183" s="155">
        <v>4.4000000000000004</v>
      </c>
      <c r="F183" s="158"/>
      <c r="G183" s="158"/>
      <c r="H183" s="158"/>
      <c r="I183" s="158"/>
      <c r="J183" s="158"/>
      <c r="K183" s="158"/>
      <c r="L183" s="158"/>
      <c r="M183" s="158"/>
      <c r="N183" s="148"/>
      <c r="O183" s="148"/>
      <c r="P183" s="148"/>
      <c r="Q183" s="148"/>
      <c r="R183" s="148"/>
      <c r="S183" s="148"/>
      <c r="T183" s="149"/>
      <c r="U183" s="148"/>
      <c r="V183" s="140"/>
      <c r="W183" s="140"/>
      <c r="X183" s="140"/>
      <c r="Y183" s="140"/>
      <c r="Z183" s="140"/>
      <c r="AA183" s="140"/>
      <c r="AB183" s="140"/>
      <c r="AC183" s="140"/>
      <c r="AD183" s="140"/>
      <c r="AE183" s="140" t="s">
        <v>130</v>
      </c>
      <c r="AF183" s="140">
        <v>0</v>
      </c>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x14ac:dyDescent="0.25">
      <c r="A184" s="141">
        <v>62</v>
      </c>
      <c r="B184" s="141" t="s">
        <v>327</v>
      </c>
      <c r="C184" s="178" t="s">
        <v>328</v>
      </c>
      <c r="D184" s="147" t="s">
        <v>154</v>
      </c>
      <c r="E184" s="154">
        <v>4.8779999999999997E-2</v>
      </c>
      <c r="F184" s="157"/>
      <c r="G184" s="158">
        <f>ROUND(E184*F184,2)</f>
        <v>0</v>
      </c>
      <c r="H184" s="158"/>
      <c r="I184" s="158">
        <f>ROUND(E184*H184,2)</f>
        <v>0</v>
      </c>
      <c r="J184" s="158"/>
      <c r="K184" s="158">
        <f>ROUND(E184*J184,2)</f>
        <v>0</v>
      </c>
      <c r="L184" s="158">
        <v>21</v>
      </c>
      <c r="M184" s="158">
        <f>G184*(1+L184/100)</f>
        <v>0</v>
      </c>
      <c r="N184" s="148">
        <v>0</v>
      </c>
      <c r="O184" s="148">
        <f>ROUND(E184*N184,5)</f>
        <v>0</v>
      </c>
      <c r="P184" s="148">
        <v>0</v>
      </c>
      <c r="Q184" s="148">
        <f>ROUND(E184*P184,5)</f>
        <v>0</v>
      </c>
      <c r="R184" s="148"/>
      <c r="S184" s="148"/>
      <c r="T184" s="149">
        <v>1.5669999999999999</v>
      </c>
      <c r="U184" s="148">
        <f>ROUND(E184*T184,2)</f>
        <v>0.08</v>
      </c>
      <c r="V184" s="140"/>
      <c r="W184" s="140"/>
      <c r="X184" s="140"/>
      <c r="Y184" s="140"/>
      <c r="Z184" s="140"/>
      <c r="AA184" s="140"/>
      <c r="AB184" s="140"/>
      <c r="AC184" s="140"/>
      <c r="AD184" s="140"/>
      <c r="AE184" s="140" t="s">
        <v>128</v>
      </c>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x14ac:dyDescent="0.25">
      <c r="A185" s="142" t="s">
        <v>123</v>
      </c>
      <c r="B185" s="142" t="s">
        <v>74</v>
      </c>
      <c r="C185" s="180" t="s">
        <v>75</v>
      </c>
      <c r="D185" s="151"/>
      <c r="E185" s="156"/>
      <c r="F185" s="159"/>
      <c r="G185" s="159">
        <f>SUMIF(AE186:AE190,"&lt;&gt;NOR",G186:G190)</f>
        <v>0</v>
      </c>
      <c r="H185" s="159"/>
      <c r="I185" s="159">
        <f>SUM(I186:I190)</f>
        <v>0</v>
      </c>
      <c r="J185" s="159"/>
      <c r="K185" s="159">
        <f>SUM(K186:K190)</f>
        <v>0</v>
      </c>
      <c r="L185" s="159"/>
      <c r="M185" s="159">
        <f>SUM(M186:M190)</f>
        <v>0</v>
      </c>
      <c r="N185" s="152"/>
      <c r="O185" s="152">
        <f>SUM(O186:O190)</f>
        <v>2.7980000000000001E-2</v>
      </c>
      <c r="P185" s="152"/>
      <c r="Q185" s="152">
        <f>SUM(Q186:Q190)</f>
        <v>0</v>
      </c>
      <c r="R185" s="152"/>
      <c r="S185" s="152"/>
      <c r="T185" s="153"/>
      <c r="U185" s="152">
        <f>SUM(U186:U190)</f>
        <v>3.4899999999999998</v>
      </c>
      <c r="AE185" t="s">
        <v>124</v>
      </c>
    </row>
    <row r="186" spans="1:60" ht="20" outlineLevel="1" x14ac:dyDescent="0.25">
      <c r="A186" s="141">
        <v>63</v>
      </c>
      <c r="B186" s="141" t="s">
        <v>329</v>
      </c>
      <c r="C186" s="178" t="s">
        <v>330</v>
      </c>
      <c r="D186" s="147" t="s">
        <v>139</v>
      </c>
      <c r="E186" s="154">
        <v>21.39</v>
      </c>
      <c r="F186" s="157"/>
      <c r="G186" s="158">
        <f>ROUND(E186*F186,2)</f>
        <v>0</v>
      </c>
      <c r="H186" s="158"/>
      <c r="I186" s="158">
        <f>ROUND(E186*H186,2)</f>
        <v>0</v>
      </c>
      <c r="J186" s="158"/>
      <c r="K186" s="158">
        <f>ROUND(E186*J186,2)</f>
        <v>0</v>
      </c>
      <c r="L186" s="158">
        <v>21</v>
      </c>
      <c r="M186" s="158">
        <f>G186*(1+L186/100)</f>
        <v>0</v>
      </c>
      <c r="N186" s="148">
        <v>2.3000000000000001E-4</v>
      </c>
      <c r="O186" s="148">
        <f>ROUND(E186*N186,5)</f>
        <v>4.9199999999999999E-3</v>
      </c>
      <c r="P186" s="148">
        <v>0</v>
      </c>
      <c r="Q186" s="148">
        <f>ROUND(E186*P186,5)</f>
        <v>0</v>
      </c>
      <c r="R186" s="148"/>
      <c r="S186" s="148"/>
      <c r="T186" s="149">
        <v>0.161</v>
      </c>
      <c r="U186" s="148">
        <f>ROUND(E186*T186,2)</f>
        <v>3.44</v>
      </c>
      <c r="V186" s="140"/>
      <c r="W186" s="140"/>
      <c r="X186" s="140"/>
      <c r="Y186" s="140"/>
      <c r="Z186" s="140"/>
      <c r="AA186" s="140"/>
      <c r="AB186" s="140"/>
      <c r="AC186" s="140"/>
      <c r="AD186" s="140"/>
      <c r="AE186" s="140" t="s">
        <v>128</v>
      </c>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1" x14ac:dyDescent="0.25">
      <c r="A187" s="141"/>
      <c r="B187" s="141"/>
      <c r="C187" s="179" t="s">
        <v>331</v>
      </c>
      <c r="D187" s="150"/>
      <c r="E187" s="155">
        <v>21.39</v>
      </c>
      <c r="F187" s="158"/>
      <c r="G187" s="158"/>
      <c r="H187" s="158"/>
      <c r="I187" s="158"/>
      <c r="J187" s="158"/>
      <c r="K187" s="158"/>
      <c r="L187" s="158"/>
      <c r="M187" s="158"/>
      <c r="N187" s="148"/>
      <c r="O187" s="148"/>
      <c r="P187" s="148"/>
      <c r="Q187" s="148"/>
      <c r="R187" s="148"/>
      <c r="S187" s="148"/>
      <c r="T187" s="149"/>
      <c r="U187" s="148"/>
      <c r="V187" s="140"/>
      <c r="W187" s="140"/>
      <c r="X187" s="140"/>
      <c r="Y187" s="140"/>
      <c r="Z187" s="140"/>
      <c r="AA187" s="140"/>
      <c r="AB187" s="140"/>
      <c r="AC187" s="140"/>
      <c r="AD187" s="140"/>
      <c r="AE187" s="140" t="s">
        <v>130</v>
      </c>
      <c r="AF187" s="140">
        <v>0</v>
      </c>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1" x14ac:dyDescent="0.25">
      <c r="A188" s="141">
        <v>64</v>
      </c>
      <c r="B188" s="141" t="s">
        <v>332</v>
      </c>
      <c r="C188" s="178" t="s">
        <v>333</v>
      </c>
      <c r="D188" s="147" t="s">
        <v>139</v>
      </c>
      <c r="E188" s="154">
        <v>23.529</v>
      </c>
      <c r="F188" s="157"/>
      <c r="G188" s="158">
        <f>ROUND(E188*F188,2)</f>
        <v>0</v>
      </c>
      <c r="H188" s="158"/>
      <c r="I188" s="158">
        <f>ROUND(E188*H188,2)</f>
        <v>0</v>
      </c>
      <c r="J188" s="158"/>
      <c r="K188" s="158">
        <f>ROUND(E188*J188,2)</f>
        <v>0</v>
      </c>
      <c r="L188" s="158">
        <v>21</v>
      </c>
      <c r="M188" s="158">
        <f>G188*(1+L188/100)</f>
        <v>0</v>
      </c>
      <c r="N188" s="148">
        <v>9.7999999999999997E-4</v>
      </c>
      <c r="O188" s="148">
        <f>ROUND(E188*N188,5)</f>
        <v>2.3060000000000001E-2</v>
      </c>
      <c r="P188" s="148">
        <v>0</v>
      </c>
      <c r="Q188" s="148">
        <f>ROUND(E188*P188,5)</f>
        <v>0</v>
      </c>
      <c r="R188" s="148"/>
      <c r="S188" s="148"/>
      <c r="T188" s="149">
        <v>0</v>
      </c>
      <c r="U188" s="148">
        <f>ROUND(E188*T188,2)</f>
        <v>0</v>
      </c>
      <c r="V188" s="140"/>
      <c r="W188" s="140"/>
      <c r="X188" s="140"/>
      <c r="Y188" s="140"/>
      <c r="Z188" s="140"/>
      <c r="AA188" s="140"/>
      <c r="AB188" s="140"/>
      <c r="AC188" s="140"/>
      <c r="AD188" s="140"/>
      <c r="AE188" s="140" t="s">
        <v>334</v>
      </c>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1" x14ac:dyDescent="0.25">
      <c r="A189" s="141"/>
      <c r="B189" s="141"/>
      <c r="C189" s="179" t="s">
        <v>335</v>
      </c>
      <c r="D189" s="150"/>
      <c r="E189" s="155">
        <v>23.529</v>
      </c>
      <c r="F189" s="158"/>
      <c r="G189" s="158"/>
      <c r="H189" s="158"/>
      <c r="I189" s="158"/>
      <c r="J189" s="158"/>
      <c r="K189" s="158"/>
      <c r="L189" s="158"/>
      <c r="M189" s="158"/>
      <c r="N189" s="148"/>
      <c r="O189" s="148"/>
      <c r="P189" s="148"/>
      <c r="Q189" s="148"/>
      <c r="R189" s="148"/>
      <c r="S189" s="148"/>
      <c r="T189" s="149"/>
      <c r="U189" s="148"/>
      <c r="V189" s="140"/>
      <c r="W189" s="140"/>
      <c r="X189" s="140"/>
      <c r="Y189" s="140"/>
      <c r="Z189" s="140"/>
      <c r="AA189" s="140"/>
      <c r="AB189" s="140"/>
      <c r="AC189" s="140"/>
      <c r="AD189" s="140"/>
      <c r="AE189" s="140" t="s">
        <v>130</v>
      </c>
      <c r="AF189" s="140">
        <v>0</v>
      </c>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x14ac:dyDescent="0.25">
      <c r="A190" s="141">
        <v>65</v>
      </c>
      <c r="B190" s="141" t="s">
        <v>336</v>
      </c>
      <c r="C190" s="178" t="s">
        <v>337</v>
      </c>
      <c r="D190" s="147" t="s">
        <v>154</v>
      </c>
      <c r="E190" s="154">
        <v>2.7980000000000001E-2</v>
      </c>
      <c r="F190" s="157"/>
      <c r="G190" s="158">
        <f>ROUND(E190*F190,2)</f>
        <v>0</v>
      </c>
      <c r="H190" s="158"/>
      <c r="I190" s="158">
        <f>ROUND(E190*H190,2)</f>
        <v>0</v>
      </c>
      <c r="J190" s="158"/>
      <c r="K190" s="158">
        <f>ROUND(E190*J190,2)</f>
        <v>0</v>
      </c>
      <c r="L190" s="158">
        <v>21</v>
      </c>
      <c r="M190" s="158">
        <f>G190*(1+L190/100)</f>
        <v>0</v>
      </c>
      <c r="N190" s="148">
        <v>0</v>
      </c>
      <c r="O190" s="148">
        <f>ROUND(E190*N190,5)</f>
        <v>0</v>
      </c>
      <c r="P190" s="148">
        <v>0</v>
      </c>
      <c r="Q190" s="148">
        <f>ROUND(E190*P190,5)</f>
        <v>0</v>
      </c>
      <c r="R190" s="148"/>
      <c r="S190" s="148"/>
      <c r="T190" s="149">
        <v>1.74</v>
      </c>
      <c r="U190" s="148">
        <f>ROUND(E190*T190,2)</f>
        <v>0.05</v>
      </c>
      <c r="V190" s="140"/>
      <c r="W190" s="140"/>
      <c r="X190" s="140"/>
      <c r="Y190" s="140"/>
      <c r="Z190" s="140"/>
      <c r="AA190" s="140"/>
      <c r="AB190" s="140"/>
      <c r="AC190" s="140"/>
      <c r="AD190" s="140"/>
      <c r="AE190" s="140" t="s">
        <v>128</v>
      </c>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x14ac:dyDescent="0.25">
      <c r="A191" s="142" t="s">
        <v>123</v>
      </c>
      <c r="B191" s="142" t="s">
        <v>76</v>
      </c>
      <c r="C191" s="180" t="s">
        <v>77</v>
      </c>
      <c r="D191" s="151"/>
      <c r="E191" s="156"/>
      <c r="F191" s="159"/>
      <c r="G191" s="159">
        <f>SUMIF(AE192:AE195,"&lt;&gt;NOR",G192:G195)</f>
        <v>0</v>
      </c>
      <c r="H191" s="159"/>
      <c r="I191" s="159">
        <f>SUM(I192:I195)</f>
        <v>0</v>
      </c>
      <c r="J191" s="159"/>
      <c r="K191" s="159">
        <f>SUM(K192:K195)</f>
        <v>0</v>
      </c>
      <c r="L191" s="159"/>
      <c r="M191" s="159">
        <f>SUM(M192:M195)</f>
        <v>0</v>
      </c>
      <c r="N191" s="152"/>
      <c r="O191" s="152">
        <f>SUM(O192:O195)</f>
        <v>0</v>
      </c>
      <c r="P191" s="152"/>
      <c r="Q191" s="152">
        <f>SUM(Q192:Q195)</f>
        <v>0</v>
      </c>
      <c r="R191" s="152"/>
      <c r="S191" s="152"/>
      <c r="T191" s="153"/>
      <c r="U191" s="152">
        <f>SUM(U192:U195)</f>
        <v>0</v>
      </c>
      <c r="AE191" t="s">
        <v>124</v>
      </c>
    </row>
    <row r="192" spans="1:60" ht="20" outlineLevel="1" x14ac:dyDescent="0.25">
      <c r="A192" s="141">
        <v>66</v>
      </c>
      <c r="B192" s="141" t="s">
        <v>338</v>
      </c>
      <c r="C192" s="178" t="s">
        <v>339</v>
      </c>
      <c r="D192" s="147" t="s">
        <v>136</v>
      </c>
      <c r="E192" s="154">
        <v>1</v>
      </c>
      <c r="F192" s="157"/>
      <c r="G192" s="158">
        <f>ROUND(E192*F192,2)</f>
        <v>0</v>
      </c>
      <c r="H192" s="158"/>
      <c r="I192" s="158">
        <f>ROUND(E192*H192,2)</f>
        <v>0</v>
      </c>
      <c r="J192" s="158"/>
      <c r="K192" s="158">
        <f>ROUND(E192*J192,2)</f>
        <v>0</v>
      </c>
      <c r="L192" s="158">
        <v>21</v>
      </c>
      <c r="M192" s="158">
        <f>G192*(1+L192/100)</f>
        <v>0</v>
      </c>
      <c r="N192" s="148">
        <v>0</v>
      </c>
      <c r="O192" s="148">
        <f>ROUND(E192*N192,5)</f>
        <v>0</v>
      </c>
      <c r="P192" s="148">
        <v>0</v>
      </c>
      <c r="Q192" s="148">
        <f>ROUND(E192*P192,5)</f>
        <v>0</v>
      </c>
      <c r="R192" s="148"/>
      <c r="S192" s="148"/>
      <c r="T192" s="149">
        <v>0</v>
      </c>
      <c r="U192" s="148">
        <f>ROUND(E192*T192,2)</f>
        <v>0</v>
      </c>
      <c r="V192" s="140"/>
      <c r="W192" s="140"/>
      <c r="X192" s="140"/>
      <c r="Y192" s="140"/>
      <c r="Z192" s="140"/>
      <c r="AA192" s="140"/>
      <c r="AB192" s="140"/>
      <c r="AC192" s="140"/>
      <c r="AD192" s="140"/>
      <c r="AE192" s="140" t="s">
        <v>128</v>
      </c>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1" x14ac:dyDescent="0.25">
      <c r="A193" s="141"/>
      <c r="B193" s="141"/>
      <c r="C193" s="179" t="s">
        <v>52</v>
      </c>
      <c r="D193" s="150"/>
      <c r="E193" s="155">
        <v>1</v>
      </c>
      <c r="F193" s="158"/>
      <c r="G193" s="158"/>
      <c r="H193" s="158"/>
      <c r="I193" s="158"/>
      <c r="J193" s="158"/>
      <c r="K193" s="158"/>
      <c r="L193" s="158"/>
      <c r="M193" s="158"/>
      <c r="N193" s="148"/>
      <c r="O193" s="148"/>
      <c r="P193" s="148"/>
      <c r="Q193" s="148"/>
      <c r="R193" s="148"/>
      <c r="S193" s="148"/>
      <c r="T193" s="149"/>
      <c r="U193" s="148"/>
      <c r="V193" s="140"/>
      <c r="W193" s="140"/>
      <c r="X193" s="140"/>
      <c r="Y193" s="140"/>
      <c r="Z193" s="140"/>
      <c r="AA193" s="140"/>
      <c r="AB193" s="140"/>
      <c r="AC193" s="140"/>
      <c r="AD193" s="140"/>
      <c r="AE193" s="140" t="s">
        <v>130</v>
      </c>
      <c r="AF193" s="140">
        <v>0</v>
      </c>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1" x14ac:dyDescent="0.25">
      <c r="A194" s="141">
        <v>67</v>
      </c>
      <c r="B194" s="141" t="s">
        <v>340</v>
      </c>
      <c r="C194" s="178" t="s">
        <v>341</v>
      </c>
      <c r="D194" s="147" t="s">
        <v>136</v>
      </c>
      <c r="E194" s="154">
        <v>1</v>
      </c>
      <c r="F194" s="157"/>
      <c r="G194" s="158">
        <f>ROUND(E194*F194,2)</f>
        <v>0</v>
      </c>
      <c r="H194" s="158"/>
      <c r="I194" s="158">
        <f>ROUND(E194*H194,2)</f>
        <v>0</v>
      </c>
      <c r="J194" s="158"/>
      <c r="K194" s="158">
        <f>ROUND(E194*J194,2)</f>
        <v>0</v>
      </c>
      <c r="L194" s="158">
        <v>21</v>
      </c>
      <c r="M194" s="158">
        <f>G194*(1+L194/100)</f>
        <v>0</v>
      </c>
      <c r="N194" s="148">
        <v>0</v>
      </c>
      <c r="O194" s="148">
        <f>ROUND(E194*N194,5)</f>
        <v>0</v>
      </c>
      <c r="P194" s="148">
        <v>0</v>
      </c>
      <c r="Q194" s="148">
        <f>ROUND(E194*P194,5)</f>
        <v>0</v>
      </c>
      <c r="R194" s="148"/>
      <c r="S194" s="148"/>
      <c r="T194" s="149">
        <v>0</v>
      </c>
      <c r="U194" s="148">
        <f>ROUND(E194*T194,2)</f>
        <v>0</v>
      </c>
      <c r="V194" s="140"/>
      <c r="W194" s="140"/>
      <c r="X194" s="140"/>
      <c r="Y194" s="140"/>
      <c r="Z194" s="140"/>
      <c r="AA194" s="140"/>
      <c r="AB194" s="140"/>
      <c r="AC194" s="140"/>
      <c r="AD194" s="140"/>
      <c r="AE194" s="140" t="s">
        <v>128</v>
      </c>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1" x14ac:dyDescent="0.25">
      <c r="A195" s="141"/>
      <c r="B195" s="141"/>
      <c r="C195" s="179" t="s">
        <v>52</v>
      </c>
      <c r="D195" s="150"/>
      <c r="E195" s="155">
        <v>1</v>
      </c>
      <c r="F195" s="158"/>
      <c r="G195" s="158"/>
      <c r="H195" s="158"/>
      <c r="I195" s="158"/>
      <c r="J195" s="158"/>
      <c r="K195" s="158"/>
      <c r="L195" s="158"/>
      <c r="M195" s="158"/>
      <c r="N195" s="148"/>
      <c r="O195" s="148"/>
      <c r="P195" s="148"/>
      <c r="Q195" s="148"/>
      <c r="R195" s="148"/>
      <c r="S195" s="148"/>
      <c r="T195" s="149"/>
      <c r="U195" s="148"/>
      <c r="V195" s="140"/>
      <c r="W195" s="140"/>
      <c r="X195" s="140"/>
      <c r="Y195" s="140"/>
      <c r="Z195" s="140"/>
      <c r="AA195" s="140"/>
      <c r="AB195" s="140"/>
      <c r="AC195" s="140"/>
      <c r="AD195" s="140"/>
      <c r="AE195" s="140" t="s">
        <v>130</v>
      </c>
      <c r="AF195" s="140">
        <v>0</v>
      </c>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x14ac:dyDescent="0.25">
      <c r="A196" s="142" t="s">
        <v>123</v>
      </c>
      <c r="B196" s="142" t="s">
        <v>78</v>
      </c>
      <c r="C196" s="180" t="s">
        <v>79</v>
      </c>
      <c r="D196" s="151"/>
      <c r="E196" s="156"/>
      <c r="F196" s="159"/>
      <c r="G196" s="159">
        <f>SUMIF(AE197:AE236,"&lt;&gt;NOR",G197:G236)</f>
        <v>0</v>
      </c>
      <c r="H196" s="159"/>
      <c r="I196" s="159">
        <f>SUM(I197:I236)</f>
        <v>0</v>
      </c>
      <c r="J196" s="159"/>
      <c r="K196" s="159">
        <f>SUM(K197:K236)</f>
        <v>0</v>
      </c>
      <c r="L196" s="159"/>
      <c r="M196" s="159">
        <f>SUM(M197:M236)</f>
        <v>0</v>
      </c>
      <c r="N196" s="152"/>
      <c r="O196" s="152">
        <f>SUM(O197:O236)</f>
        <v>10.798359999999999</v>
      </c>
      <c r="P196" s="152"/>
      <c r="Q196" s="152">
        <f>SUM(Q197:Q236)</f>
        <v>0</v>
      </c>
      <c r="R196" s="152"/>
      <c r="S196" s="152"/>
      <c r="T196" s="153"/>
      <c r="U196" s="152">
        <f>SUM(U197:U236)</f>
        <v>418.29000000000008</v>
      </c>
      <c r="AE196" t="s">
        <v>124</v>
      </c>
    </row>
    <row r="197" spans="1:60" ht="20" outlineLevel="1" x14ac:dyDescent="0.25">
      <c r="A197" s="141">
        <v>68</v>
      </c>
      <c r="B197" s="141" t="s">
        <v>342</v>
      </c>
      <c r="C197" s="178" t="s">
        <v>343</v>
      </c>
      <c r="D197" s="147" t="s">
        <v>139</v>
      </c>
      <c r="E197" s="154">
        <v>17.954999999999998</v>
      </c>
      <c r="F197" s="157"/>
      <c r="G197" s="158">
        <f>ROUND(E197*F197,2)</f>
        <v>0</v>
      </c>
      <c r="H197" s="158"/>
      <c r="I197" s="158">
        <f>ROUND(E197*H197,2)</f>
        <v>0</v>
      </c>
      <c r="J197" s="158"/>
      <c r="K197" s="158">
        <f>ROUND(E197*J197,2)</f>
        <v>0</v>
      </c>
      <c r="L197" s="158">
        <v>21</v>
      </c>
      <c r="M197" s="158">
        <f>G197*(1+L197/100)</f>
        <v>0</v>
      </c>
      <c r="N197" s="148">
        <v>1.2149999999999999E-2</v>
      </c>
      <c r="O197" s="148">
        <f>ROUND(E197*N197,5)</f>
        <v>0.21815000000000001</v>
      </c>
      <c r="P197" s="148">
        <v>0</v>
      </c>
      <c r="Q197" s="148">
        <f>ROUND(E197*P197,5)</f>
        <v>0</v>
      </c>
      <c r="R197" s="148"/>
      <c r="S197" s="148"/>
      <c r="T197" s="149">
        <v>1.0109999999999999</v>
      </c>
      <c r="U197" s="148">
        <f>ROUND(E197*T197,2)</f>
        <v>18.149999999999999</v>
      </c>
      <c r="V197" s="140"/>
      <c r="W197" s="140"/>
      <c r="X197" s="140"/>
      <c r="Y197" s="140"/>
      <c r="Z197" s="140"/>
      <c r="AA197" s="140"/>
      <c r="AB197" s="140"/>
      <c r="AC197" s="140"/>
      <c r="AD197" s="140"/>
      <c r="AE197" s="140" t="s">
        <v>128</v>
      </c>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1" x14ac:dyDescent="0.25">
      <c r="A198" s="141"/>
      <c r="B198" s="141"/>
      <c r="C198" s="179" t="s">
        <v>344</v>
      </c>
      <c r="D198" s="150"/>
      <c r="E198" s="155">
        <v>12.265000000000001</v>
      </c>
      <c r="F198" s="158"/>
      <c r="G198" s="158"/>
      <c r="H198" s="158"/>
      <c r="I198" s="158"/>
      <c r="J198" s="158"/>
      <c r="K198" s="158"/>
      <c r="L198" s="158"/>
      <c r="M198" s="158"/>
      <c r="N198" s="148"/>
      <c r="O198" s="148"/>
      <c r="P198" s="148"/>
      <c r="Q198" s="148"/>
      <c r="R198" s="148"/>
      <c r="S198" s="148"/>
      <c r="T198" s="149"/>
      <c r="U198" s="148"/>
      <c r="V198" s="140"/>
      <c r="W198" s="140"/>
      <c r="X198" s="140"/>
      <c r="Y198" s="140"/>
      <c r="Z198" s="140"/>
      <c r="AA198" s="140"/>
      <c r="AB198" s="140"/>
      <c r="AC198" s="140"/>
      <c r="AD198" s="140"/>
      <c r="AE198" s="140" t="s">
        <v>130</v>
      </c>
      <c r="AF198" s="140">
        <v>0</v>
      </c>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1" x14ac:dyDescent="0.25">
      <c r="A199" s="141"/>
      <c r="B199" s="141"/>
      <c r="C199" s="179" t="s">
        <v>345</v>
      </c>
      <c r="D199" s="150"/>
      <c r="E199" s="155">
        <v>5.69</v>
      </c>
      <c r="F199" s="158"/>
      <c r="G199" s="158"/>
      <c r="H199" s="158"/>
      <c r="I199" s="158"/>
      <c r="J199" s="158"/>
      <c r="K199" s="158"/>
      <c r="L199" s="158"/>
      <c r="M199" s="158"/>
      <c r="N199" s="148"/>
      <c r="O199" s="148"/>
      <c r="P199" s="148"/>
      <c r="Q199" s="148"/>
      <c r="R199" s="148"/>
      <c r="S199" s="148"/>
      <c r="T199" s="149"/>
      <c r="U199" s="148"/>
      <c r="V199" s="140"/>
      <c r="W199" s="140"/>
      <c r="X199" s="140"/>
      <c r="Y199" s="140"/>
      <c r="Z199" s="140"/>
      <c r="AA199" s="140"/>
      <c r="AB199" s="140"/>
      <c r="AC199" s="140"/>
      <c r="AD199" s="140"/>
      <c r="AE199" s="140" t="s">
        <v>130</v>
      </c>
      <c r="AF199" s="140">
        <v>0</v>
      </c>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ht="20" outlineLevel="1" x14ac:dyDescent="0.25">
      <c r="A200" s="141">
        <v>69</v>
      </c>
      <c r="B200" s="141" t="s">
        <v>346</v>
      </c>
      <c r="C200" s="178" t="s">
        <v>347</v>
      </c>
      <c r="D200" s="147" t="s">
        <v>139</v>
      </c>
      <c r="E200" s="154">
        <v>3.23</v>
      </c>
      <c r="F200" s="157"/>
      <c r="G200" s="158">
        <f>ROUND(E200*F200,2)</f>
        <v>0</v>
      </c>
      <c r="H200" s="158"/>
      <c r="I200" s="158">
        <f>ROUND(E200*H200,2)</f>
        <v>0</v>
      </c>
      <c r="J200" s="158"/>
      <c r="K200" s="158">
        <f>ROUND(E200*J200,2)</f>
        <v>0</v>
      </c>
      <c r="L200" s="158">
        <v>21</v>
      </c>
      <c r="M200" s="158">
        <f>G200*(1+L200/100)</f>
        <v>0</v>
      </c>
      <c r="N200" s="148">
        <v>1.2149999999999999E-2</v>
      </c>
      <c r="O200" s="148">
        <f>ROUND(E200*N200,5)</f>
        <v>3.9239999999999997E-2</v>
      </c>
      <c r="P200" s="148">
        <v>0</v>
      </c>
      <c r="Q200" s="148">
        <f>ROUND(E200*P200,5)</f>
        <v>0</v>
      </c>
      <c r="R200" s="148"/>
      <c r="S200" s="148"/>
      <c r="T200" s="149">
        <v>1.0109999999999999</v>
      </c>
      <c r="U200" s="148">
        <f>ROUND(E200*T200,2)</f>
        <v>3.27</v>
      </c>
      <c r="V200" s="140"/>
      <c r="W200" s="140"/>
      <c r="X200" s="140"/>
      <c r="Y200" s="140"/>
      <c r="Z200" s="140"/>
      <c r="AA200" s="140"/>
      <c r="AB200" s="140"/>
      <c r="AC200" s="140"/>
      <c r="AD200" s="140"/>
      <c r="AE200" s="140" t="s">
        <v>128</v>
      </c>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1" x14ac:dyDescent="0.25">
      <c r="A201" s="141"/>
      <c r="B201" s="141"/>
      <c r="C201" s="179" t="s">
        <v>348</v>
      </c>
      <c r="D201" s="150"/>
      <c r="E201" s="155">
        <v>3.23</v>
      </c>
      <c r="F201" s="158"/>
      <c r="G201" s="158"/>
      <c r="H201" s="158"/>
      <c r="I201" s="158"/>
      <c r="J201" s="158"/>
      <c r="K201" s="158"/>
      <c r="L201" s="158"/>
      <c r="M201" s="158"/>
      <c r="N201" s="148"/>
      <c r="O201" s="148"/>
      <c r="P201" s="148"/>
      <c r="Q201" s="148"/>
      <c r="R201" s="148"/>
      <c r="S201" s="148"/>
      <c r="T201" s="149"/>
      <c r="U201" s="148"/>
      <c r="V201" s="140"/>
      <c r="W201" s="140"/>
      <c r="X201" s="140"/>
      <c r="Y201" s="140"/>
      <c r="Z201" s="140"/>
      <c r="AA201" s="140"/>
      <c r="AB201" s="140"/>
      <c r="AC201" s="140"/>
      <c r="AD201" s="140"/>
      <c r="AE201" s="140" t="s">
        <v>130</v>
      </c>
      <c r="AF201" s="140">
        <v>0</v>
      </c>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x14ac:dyDescent="0.25">
      <c r="A202" s="141">
        <v>70</v>
      </c>
      <c r="B202" s="141" t="s">
        <v>349</v>
      </c>
      <c r="C202" s="178" t="s">
        <v>350</v>
      </c>
      <c r="D202" s="147" t="s">
        <v>139</v>
      </c>
      <c r="E202" s="154">
        <v>23.89875</v>
      </c>
      <c r="F202" s="157"/>
      <c r="G202" s="158">
        <f>ROUND(E202*F202,2)</f>
        <v>0</v>
      </c>
      <c r="H202" s="158"/>
      <c r="I202" s="158">
        <f>ROUND(E202*H202,2)</f>
        <v>0</v>
      </c>
      <c r="J202" s="158"/>
      <c r="K202" s="158">
        <f>ROUND(E202*J202,2)</f>
        <v>0</v>
      </c>
      <c r="L202" s="158">
        <v>21</v>
      </c>
      <c r="M202" s="158">
        <f>G202*(1+L202/100)</f>
        <v>0</v>
      </c>
      <c r="N202" s="148">
        <v>0</v>
      </c>
      <c r="O202" s="148">
        <f>ROUND(E202*N202,5)</f>
        <v>0</v>
      </c>
      <c r="P202" s="148">
        <v>0</v>
      </c>
      <c r="Q202" s="148">
        <f>ROUND(E202*P202,5)</f>
        <v>0</v>
      </c>
      <c r="R202" s="148"/>
      <c r="S202" s="148"/>
      <c r="T202" s="149">
        <v>0.57999999999999996</v>
      </c>
      <c r="U202" s="148">
        <f>ROUND(E202*T202,2)</f>
        <v>13.86</v>
      </c>
      <c r="V202" s="140"/>
      <c r="W202" s="140"/>
      <c r="X202" s="140"/>
      <c r="Y202" s="140"/>
      <c r="Z202" s="140"/>
      <c r="AA202" s="140"/>
      <c r="AB202" s="140"/>
      <c r="AC202" s="140"/>
      <c r="AD202" s="140"/>
      <c r="AE202" s="140" t="s">
        <v>128</v>
      </c>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x14ac:dyDescent="0.25">
      <c r="A203" s="141"/>
      <c r="B203" s="141"/>
      <c r="C203" s="179" t="s">
        <v>351</v>
      </c>
      <c r="D203" s="150"/>
      <c r="E203" s="155">
        <v>14.97875</v>
      </c>
      <c r="F203" s="158"/>
      <c r="G203" s="158"/>
      <c r="H203" s="158"/>
      <c r="I203" s="158"/>
      <c r="J203" s="158"/>
      <c r="K203" s="158"/>
      <c r="L203" s="158"/>
      <c r="M203" s="158"/>
      <c r="N203" s="148"/>
      <c r="O203" s="148"/>
      <c r="P203" s="148"/>
      <c r="Q203" s="148"/>
      <c r="R203" s="148"/>
      <c r="S203" s="148"/>
      <c r="T203" s="149"/>
      <c r="U203" s="148"/>
      <c r="V203" s="140"/>
      <c r="W203" s="140"/>
      <c r="X203" s="140"/>
      <c r="Y203" s="140"/>
      <c r="Z203" s="140"/>
      <c r="AA203" s="140"/>
      <c r="AB203" s="140"/>
      <c r="AC203" s="140"/>
      <c r="AD203" s="140"/>
      <c r="AE203" s="140" t="s">
        <v>130</v>
      </c>
      <c r="AF203" s="140">
        <v>0</v>
      </c>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x14ac:dyDescent="0.25">
      <c r="A204" s="141"/>
      <c r="B204" s="141"/>
      <c r="C204" s="179" t="s">
        <v>352</v>
      </c>
      <c r="D204" s="150"/>
      <c r="E204" s="155">
        <v>8.92</v>
      </c>
      <c r="F204" s="158"/>
      <c r="G204" s="158"/>
      <c r="H204" s="158"/>
      <c r="I204" s="158"/>
      <c r="J204" s="158"/>
      <c r="K204" s="158"/>
      <c r="L204" s="158"/>
      <c r="M204" s="158"/>
      <c r="N204" s="148"/>
      <c r="O204" s="148"/>
      <c r="P204" s="148"/>
      <c r="Q204" s="148"/>
      <c r="R204" s="148"/>
      <c r="S204" s="148"/>
      <c r="T204" s="149"/>
      <c r="U204" s="148"/>
      <c r="V204" s="140"/>
      <c r="W204" s="140"/>
      <c r="X204" s="140"/>
      <c r="Y204" s="140"/>
      <c r="Z204" s="140"/>
      <c r="AA204" s="140"/>
      <c r="AB204" s="140"/>
      <c r="AC204" s="140"/>
      <c r="AD204" s="140"/>
      <c r="AE204" s="140" t="s">
        <v>130</v>
      </c>
      <c r="AF204" s="140">
        <v>0</v>
      </c>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1" x14ac:dyDescent="0.25">
      <c r="A205" s="141">
        <v>71</v>
      </c>
      <c r="B205" s="141" t="s">
        <v>353</v>
      </c>
      <c r="C205" s="178" t="s">
        <v>354</v>
      </c>
      <c r="D205" s="147" t="s">
        <v>136</v>
      </c>
      <c r="E205" s="154">
        <v>2</v>
      </c>
      <c r="F205" s="157"/>
      <c r="G205" s="158">
        <f>ROUND(E205*F205,2)</f>
        <v>0</v>
      </c>
      <c r="H205" s="158"/>
      <c r="I205" s="158">
        <f>ROUND(E205*H205,2)</f>
        <v>0</v>
      </c>
      <c r="J205" s="158"/>
      <c r="K205" s="158">
        <f>ROUND(E205*J205,2)</f>
        <v>0</v>
      </c>
      <c r="L205" s="158">
        <v>21</v>
      </c>
      <c r="M205" s="158">
        <f>G205*(1+L205/100)</f>
        <v>0</v>
      </c>
      <c r="N205" s="148">
        <v>0</v>
      </c>
      <c r="O205" s="148">
        <f>ROUND(E205*N205,5)</f>
        <v>0</v>
      </c>
      <c r="P205" s="148">
        <v>0</v>
      </c>
      <c r="Q205" s="148">
        <f>ROUND(E205*P205,5)</f>
        <v>0</v>
      </c>
      <c r="R205" s="148"/>
      <c r="S205" s="148"/>
      <c r="T205" s="149">
        <v>0</v>
      </c>
      <c r="U205" s="148">
        <f>ROUND(E205*T205,2)</f>
        <v>0</v>
      </c>
      <c r="V205" s="140"/>
      <c r="W205" s="140"/>
      <c r="X205" s="140"/>
      <c r="Y205" s="140"/>
      <c r="Z205" s="140"/>
      <c r="AA205" s="140"/>
      <c r="AB205" s="140"/>
      <c r="AC205" s="140"/>
      <c r="AD205" s="140"/>
      <c r="AE205" s="140" t="s">
        <v>128</v>
      </c>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1" x14ac:dyDescent="0.25">
      <c r="A206" s="141"/>
      <c r="B206" s="141"/>
      <c r="C206" s="179" t="s">
        <v>177</v>
      </c>
      <c r="D206" s="150"/>
      <c r="E206" s="155">
        <v>2</v>
      </c>
      <c r="F206" s="158"/>
      <c r="G206" s="158"/>
      <c r="H206" s="158"/>
      <c r="I206" s="158"/>
      <c r="J206" s="158"/>
      <c r="K206" s="158"/>
      <c r="L206" s="158"/>
      <c r="M206" s="158"/>
      <c r="N206" s="148"/>
      <c r="O206" s="148"/>
      <c r="P206" s="148"/>
      <c r="Q206" s="148"/>
      <c r="R206" s="148"/>
      <c r="S206" s="148"/>
      <c r="T206" s="149"/>
      <c r="U206" s="148"/>
      <c r="V206" s="140"/>
      <c r="W206" s="140"/>
      <c r="X206" s="140"/>
      <c r="Y206" s="140"/>
      <c r="Z206" s="140"/>
      <c r="AA206" s="140"/>
      <c r="AB206" s="140"/>
      <c r="AC206" s="140"/>
      <c r="AD206" s="140"/>
      <c r="AE206" s="140" t="s">
        <v>130</v>
      </c>
      <c r="AF206" s="140">
        <v>0</v>
      </c>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x14ac:dyDescent="0.25">
      <c r="A207" s="141">
        <v>72</v>
      </c>
      <c r="B207" s="141" t="s">
        <v>355</v>
      </c>
      <c r="C207" s="178" t="s">
        <v>356</v>
      </c>
      <c r="D207" s="147" t="s">
        <v>136</v>
      </c>
      <c r="E207" s="154">
        <v>2</v>
      </c>
      <c r="F207" s="157"/>
      <c r="G207" s="158">
        <f>ROUND(E207*F207,2)</f>
        <v>0</v>
      </c>
      <c r="H207" s="158"/>
      <c r="I207" s="158">
        <f>ROUND(E207*H207,2)</f>
        <v>0</v>
      </c>
      <c r="J207" s="158"/>
      <c r="K207" s="158">
        <f>ROUND(E207*J207,2)</f>
        <v>0</v>
      </c>
      <c r="L207" s="158">
        <v>21</v>
      </c>
      <c r="M207" s="158">
        <f>G207*(1+L207/100)</f>
        <v>0</v>
      </c>
      <c r="N207" s="148">
        <v>0</v>
      </c>
      <c r="O207" s="148">
        <f>ROUND(E207*N207,5)</f>
        <v>0</v>
      </c>
      <c r="P207" s="148">
        <v>0</v>
      </c>
      <c r="Q207" s="148">
        <f>ROUND(E207*P207,5)</f>
        <v>0</v>
      </c>
      <c r="R207" s="148"/>
      <c r="S207" s="148"/>
      <c r="T207" s="149">
        <v>0</v>
      </c>
      <c r="U207" s="148">
        <f>ROUND(E207*T207,2)</f>
        <v>0</v>
      </c>
      <c r="V207" s="140"/>
      <c r="W207" s="140"/>
      <c r="X207" s="140"/>
      <c r="Y207" s="140"/>
      <c r="Z207" s="140"/>
      <c r="AA207" s="140"/>
      <c r="AB207" s="140"/>
      <c r="AC207" s="140"/>
      <c r="AD207" s="140"/>
      <c r="AE207" s="140" t="s">
        <v>128</v>
      </c>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1" x14ac:dyDescent="0.25">
      <c r="A208" s="141"/>
      <c r="B208" s="141"/>
      <c r="C208" s="179" t="s">
        <v>177</v>
      </c>
      <c r="D208" s="150"/>
      <c r="E208" s="155">
        <v>2</v>
      </c>
      <c r="F208" s="158"/>
      <c r="G208" s="158"/>
      <c r="H208" s="158"/>
      <c r="I208" s="158"/>
      <c r="J208" s="158"/>
      <c r="K208" s="158"/>
      <c r="L208" s="158"/>
      <c r="M208" s="158"/>
      <c r="N208" s="148"/>
      <c r="O208" s="148"/>
      <c r="P208" s="148"/>
      <c r="Q208" s="148"/>
      <c r="R208" s="148"/>
      <c r="S208" s="148"/>
      <c r="T208" s="149"/>
      <c r="U208" s="148"/>
      <c r="V208" s="140"/>
      <c r="W208" s="140"/>
      <c r="X208" s="140"/>
      <c r="Y208" s="140"/>
      <c r="Z208" s="140"/>
      <c r="AA208" s="140"/>
      <c r="AB208" s="140"/>
      <c r="AC208" s="140"/>
      <c r="AD208" s="140"/>
      <c r="AE208" s="140" t="s">
        <v>130</v>
      </c>
      <c r="AF208" s="140">
        <v>0</v>
      </c>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1" x14ac:dyDescent="0.25">
      <c r="A209" s="141">
        <v>73</v>
      </c>
      <c r="B209" s="141" t="s">
        <v>357</v>
      </c>
      <c r="C209" s="178" t="s">
        <v>358</v>
      </c>
      <c r="D209" s="147" t="s">
        <v>136</v>
      </c>
      <c r="E209" s="154">
        <v>9</v>
      </c>
      <c r="F209" s="157"/>
      <c r="G209" s="158">
        <f>ROUND(E209*F209,2)</f>
        <v>0</v>
      </c>
      <c r="H209" s="158"/>
      <c r="I209" s="158">
        <f>ROUND(E209*H209,2)</f>
        <v>0</v>
      </c>
      <c r="J209" s="158"/>
      <c r="K209" s="158">
        <f>ROUND(E209*J209,2)</f>
        <v>0</v>
      </c>
      <c r="L209" s="158">
        <v>21</v>
      </c>
      <c r="M209" s="158">
        <f>G209*(1+L209/100)</f>
        <v>0</v>
      </c>
      <c r="N209" s="148">
        <v>0</v>
      </c>
      <c r="O209" s="148">
        <f>ROUND(E209*N209,5)</f>
        <v>0</v>
      </c>
      <c r="P209" s="148">
        <v>0</v>
      </c>
      <c r="Q209" s="148">
        <f>ROUND(E209*P209,5)</f>
        <v>0</v>
      </c>
      <c r="R209" s="148"/>
      <c r="S209" s="148"/>
      <c r="T209" s="149">
        <v>0</v>
      </c>
      <c r="U209" s="148">
        <f>ROUND(E209*T209,2)</f>
        <v>0</v>
      </c>
      <c r="V209" s="140"/>
      <c r="W209" s="140"/>
      <c r="X209" s="140"/>
      <c r="Y209" s="140"/>
      <c r="Z209" s="140"/>
      <c r="AA209" s="140"/>
      <c r="AB209" s="140"/>
      <c r="AC209" s="140"/>
      <c r="AD209" s="140"/>
      <c r="AE209" s="140" t="s">
        <v>128</v>
      </c>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1" x14ac:dyDescent="0.25">
      <c r="A210" s="141"/>
      <c r="B210" s="141"/>
      <c r="C210" s="179" t="s">
        <v>359</v>
      </c>
      <c r="D210" s="150"/>
      <c r="E210" s="155">
        <v>9</v>
      </c>
      <c r="F210" s="158"/>
      <c r="G210" s="158"/>
      <c r="H210" s="158"/>
      <c r="I210" s="158"/>
      <c r="J210" s="158"/>
      <c r="K210" s="158"/>
      <c r="L210" s="158"/>
      <c r="M210" s="158"/>
      <c r="N210" s="148"/>
      <c r="O210" s="148"/>
      <c r="P210" s="148"/>
      <c r="Q210" s="148"/>
      <c r="R210" s="148"/>
      <c r="S210" s="148"/>
      <c r="T210" s="149"/>
      <c r="U210" s="148"/>
      <c r="V210" s="140"/>
      <c r="W210" s="140"/>
      <c r="X210" s="140"/>
      <c r="Y210" s="140"/>
      <c r="Z210" s="140"/>
      <c r="AA210" s="140"/>
      <c r="AB210" s="140"/>
      <c r="AC210" s="140"/>
      <c r="AD210" s="140"/>
      <c r="AE210" s="140" t="s">
        <v>130</v>
      </c>
      <c r="AF210" s="140">
        <v>0</v>
      </c>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t="20" outlineLevel="1" x14ac:dyDescent="0.25">
      <c r="A211" s="141">
        <v>74</v>
      </c>
      <c r="B211" s="141" t="s">
        <v>360</v>
      </c>
      <c r="C211" s="178" t="s">
        <v>361</v>
      </c>
      <c r="D211" s="147" t="s">
        <v>139</v>
      </c>
      <c r="E211" s="154">
        <v>28.98</v>
      </c>
      <c r="F211" s="157"/>
      <c r="G211" s="158">
        <f>ROUND(E211*F211,2)</f>
        <v>0</v>
      </c>
      <c r="H211" s="158"/>
      <c r="I211" s="158">
        <f>ROUND(E211*H211,2)</f>
        <v>0</v>
      </c>
      <c r="J211" s="158"/>
      <c r="K211" s="158">
        <f>ROUND(E211*J211,2)</f>
        <v>0</v>
      </c>
      <c r="L211" s="158">
        <v>21</v>
      </c>
      <c r="M211" s="158">
        <f>G211*(1+L211/100)</f>
        <v>0</v>
      </c>
      <c r="N211" s="148">
        <v>4.8719999999999999E-2</v>
      </c>
      <c r="O211" s="148">
        <f>ROUND(E211*N211,5)</f>
        <v>1.41191</v>
      </c>
      <c r="P211" s="148">
        <v>0</v>
      </c>
      <c r="Q211" s="148">
        <f>ROUND(E211*P211,5)</f>
        <v>0</v>
      </c>
      <c r="R211" s="148"/>
      <c r="S211" s="148"/>
      <c r="T211" s="149">
        <v>1.4039999999999999</v>
      </c>
      <c r="U211" s="148">
        <f>ROUND(E211*T211,2)</f>
        <v>40.69</v>
      </c>
      <c r="V211" s="140"/>
      <c r="W211" s="140"/>
      <c r="X211" s="140"/>
      <c r="Y211" s="140"/>
      <c r="Z211" s="140"/>
      <c r="AA211" s="140"/>
      <c r="AB211" s="140"/>
      <c r="AC211" s="140"/>
      <c r="AD211" s="140"/>
      <c r="AE211" s="140" t="s">
        <v>128</v>
      </c>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x14ac:dyDescent="0.25">
      <c r="A212" s="141"/>
      <c r="B212" s="141"/>
      <c r="C212" s="179" t="s">
        <v>362</v>
      </c>
      <c r="D212" s="150"/>
      <c r="E212" s="155">
        <v>28.98</v>
      </c>
      <c r="F212" s="158"/>
      <c r="G212" s="158"/>
      <c r="H212" s="158"/>
      <c r="I212" s="158"/>
      <c r="J212" s="158"/>
      <c r="K212" s="158"/>
      <c r="L212" s="158"/>
      <c r="M212" s="158"/>
      <c r="N212" s="148"/>
      <c r="O212" s="148"/>
      <c r="P212" s="148"/>
      <c r="Q212" s="148"/>
      <c r="R212" s="148"/>
      <c r="S212" s="148"/>
      <c r="T212" s="149"/>
      <c r="U212" s="148"/>
      <c r="V212" s="140"/>
      <c r="W212" s="140"/>
      <c r="X212" s="140"/>
      <c r="Y212" s="140"/>
      <c r="Z212" s="140"/>
      <c r="AA212" s="140"/>
      <c r="AB212" s="140"/>
      <c r="AC212" s="140"/>
      <c r="AD212" s="140"/>
      <c r="AE212" s="140" t="s">
        <v>130</v>
      </c>
      <c r="AF212" s="140">
        <v>0</v>
      </c>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t="20" outlineLevel="1" x14ac:dyDescent="0.25">
      <c r="A213" s="141">
        <v>75</v>
      </c>
      <c r="B213" s="141" t="s">
        <v>363</v>
      </c>
      <c r="C213" s="178" t="s">
        <v>364</v>
      </c>
      <c r="D213" s="147" t="s">
        <v>139</v>
      </c>
      <c r="E213" s="154">
        <v>117.093</v>
      </c>
      <c r="F213" s="157"/>
      <c r="G213" s="158">
        <f>ROUND(E213*F213,2)</f>
        <v>0</v>
      </c>
      <c r="H213" s="158"/>
      <c r="I213" s="158">
        <f>ROUND(E213*H213,2)</f>
        <v>0</v>
      </c>
      <c r="J213" s="158"/>
      <c r="K213" s="158">
        <f>ROUND(E213*J213,2)</f>
        <v>0</v>
      </c>
      <c r="L213" s="158">
        <v>21</v>
      </c>
      <c r="M213" s="158">
        <f>G213*(1+L213/100)</f>
        <v>0</v>
      </c>
      <c r="N213" s="148">
        <v>5.0349999999999999E-2</v>
      </c>
      <c r="O213" s="148">
        <f>ROUND(E213*N213,5)</f>
        <v>5.8956299999999997</v>
      </c>
      <c r="P213" s="148">
        <v>0</v>
      </c>
      <c r="Q213" s="148">
        <f>ROUND(E213*P213,5)</f>
        <v>0</v>
      </c>
      <c r="R213" s="148"/>
      <c r="S213" s="148"/>
      <c r="T213" s="149">
        <v>1.452</v>
      </c>
      <c r="U213" s="148">
        <f>ROUND(E213*T213,2)</f>
        <v>170.02</v>
      </c>
      <c r="V213" s="140"/>
      <c r="W213" s="140"/>
      <c r="X213" s="140"/>
      <c r="Y213" s="140"/>
      <c r="Z213" s="140"/>
      <c r="AA213" s="140"/>
      <c r="AB213" s="140"/>
      <c r="AC213" s="140"/>
      <c r="AD213" s="140"/>
      <c r="AE213" s="140" t="s">
        <v>128</v>
      </c>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1" x14ac:dyDescent="0.25">
      <c r="A214" s="141"/>
      <c r="B214" s="141"/>
      <c r="C214" s="179" t="s">
        <v>365</v>
      </c>
      <c r="D214" s="150"/>
      <c r="E214" s="155">
        <v>134.68799999999999</v>
      </c>
      <c r="F214" s="158"/>
      <c r="G214" s="158"/>
      <c r="H214" s="158"/>
      <c r="I214" s="158"/>
      <c r="J214" s="158"/>
      <c r="K214" s="158"/>
      <c r="L214" s="158"/>
      <c r="M214" s="158"/>
      <c r="N214" s="148"/>
      <c r="O214" s="148"/>
      <c r="P214" s="148"/>
      <c r="Q214" s="148"/>
      <c r="R214" s="148"/>
      <c r="S214" s="148"/>
      <c r="T214" s="149"/>
      <c r="U214" s="148"/>
      <c r="V214" s="140"/>
      <c r="W214" s="140"/>
      <c r="X214" s="140"/>
      <c r="Y214" s="140"/>
      <c r="Z214" s="140"/>
      <c r="AA214" s="140"/>
      <c r="AB214" s="140"/>
      <c r="AC214" s="140"/>
      <c r="AD214" s="140"/>
      <c r="AE214" s="140" t="s">
        <v>130</v>
      </c>
      <c r="AF214" s="140">
        <v>0</v>
      </c>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x14ac:dyDescent="0.25">
      <c r="A215" s="141"/>
      <c r="B215" s="141"/>
      <c r="C215" s="179" t="s">
        <v>366</v>
      </c>
      <c r="D215" s="150"/>
      <c r="E215" s="155">
        <v>-17.594999999999999</v>
      </c>
      <c r="F215" s="158"/>
      <c r="G215" s="158"/>
      <c r="H215" s="158"/>
      <c r="I215" s="158"/>
      <c r="J215" s="158"/>
      <c r="K215" s="158"/>
      <c r="L215" s="158"/>
      <c r="M215" s="158"/>
      <c r="N215" s="148"/>
      <c r="O215" s="148"/>
      <c r="P215" s="148"/>
      <c r="Q215" s="148"/>
      <c r="R215" s="148"/>
      <c r="S215" s="148"/>
      <c r="T215" s="149"/>
      <c r="U215" s="148"/>
      <c r="V215" s="140"/>
      <c r="W215" s="140"/>
      <c r="X215" s="140"/>
      <c r="Y215" s="140"/>
      <c r="Z215" s="140"/>
      <c r="AA215" s="140"/>
      <c r="AB215" s="140"/>
      <c r="AC215" s="140"/>
      <c r="AD215" s="140"/>
      <c r="AE215" s="140" t="s">
        <v>130</v>
      </c>
      <c r="AF215" s="140">
        <v>0</v>
      </c>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ht="20" outlineLevel="1" x14ac:dyDescent="0.25">
      <c r="A216" s="141">
        <v>76</v>
      </c>
      <c r="B216" s="141" t="s">
        <v>367</v>
      </c>
      <c r="C216" s="178" t="s">
        <v>368</v>
      </c>
      <c r="D216" s="147" t="s">
        <v>139</v>
      </c>
      <c r="E216" s="154">
        <v>17.594999999999999</v>
      </c>
      <c r="F216" s="157"/>
      <c r="G216" s="158">
        <f>ROUND(E216*F216,2)</f>
        <v>0</v>
      </c>
      <c r="H216" s="158"/>
      <c r="I216" s="158">
        <f>ROUND(E216*H216,2)</f>
        <v>0</v>
      </c>
      <c r="J216" s="158"/>
      <c r="K216" s="158">
        <f>ROUND(E216*J216,2)</f>
        <v>0</v>
      </c>
      <c r="L216" s="158">
        <v>21</v>
      </c>
      <c r="M216" s="158">
        <f>G216*(1+L216/100)</f>
        <v>0</v>
      </c>
      <c r="N216" s="148">
        <v>5.042E-2</v>
      </c>
      <c r="O216" s="148">
        <f>ROUND(E216*N216,5)</f>
        <v>0.88714000000000004</v>
      </c>
      <c r="P216" s="148">
        <v>0</v>
      </c>
      <c r="Q216" s="148">
        <f>ROUND(E216*P216,5)</f>
        <v>0</v>
      </c>
      <c r="R216" s="148"/>
      <c r="S216" s="148"/>
      <c r="T216" s="149">
        <v>1.452</v>
      </c>
      <c r="U216" s="148">
        <f>ROUND(E216*T216,2)</f>
        <v>25.55</v>
      </c>
      <c r="V216" s="140"/>
      <c r="W216" s="140"/>
      <c r="X216" s="140"/>
      <c r="Y216" s="140"/>
      <c r="Z216" s="140"/>
      <c r="AA216" s="140"/>
      <c r="AB216" s="140"/>
      <c r="AC216" s="140"/>
      <c r="AD216" s="140"/>
      <c r="AE216" s="140" t="s">
        <v>128</v>
      </c>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1" x14ac:dyDescent="0.25">
      <c r="A217" s="141"/>
      <c r="B217" s="141"/>
      <c r="C217" s="179" t="s">
        <v>369</v>
      </c>
      <c r="D217" s="150"/>
      <c r="E217" s="155">
        <v>17.594999999999999</v>
      </c>
      <c r="F217" s="158"/>
      <c r="G217" s="158"/>
      <c r="H217" s="158"/>
      <c r="I217" s="158"/>
      <c r="J217" s="158"/>
      <c r="K217" s="158"/>
      <c r="L217" s="158"/>
      <c r="M217" s="158"/>
      <c r="N217" s="148"/>
      <c r="O217" s="148"/>
      <c r="P217" s="148"/>
      <c r="Q217" s="148"/>
      <c r="R217" s="148"/>
      <c r="S217" s="148"/>
      <c r="T217" s="149"/>
      <c r="U217" s="148"/>
      <c r="V217" s="140"/>
      <c r="W217" s="140"/>
      <c r="X217" s="140"/>
      <c r="Y217" s="140"/>
      <c r="Z217" s="140"/>
      <c r="AA217" s="140"/>
      <c r="AB217" s="140"/>
      <c r="AC217" s="140"/>
      <c r="AD217" s="140"/>
      <c r="AE217" s="140" t="s">
        <v>130</v>
      </c>
      <c r="AF217" s="140">
        <v>0</v>
      </c>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ht="20" outlineLevel="1" x14ac:dyDescent="0.25">
      <c r="A218" s="141">
        <v>77</v>
      </c>
      <c r="B218" s="141" t="s">
        <v>370</v>
      </c>
      <c r="C218" s="178" t="s">
        <v>371</v>
      </c>
      <c r="D218" s="147" t="s">
        <v>139</v>
      </c>
      <c r="E218" s="154">
        <v>9.8324999999999996</v>
      </c>
      <c r="F218" s="157"/>
      <c r="G218" s="158">
        <f>ROUND(E218*F218,2)</f>
        <v>0</v>
      </c>
      <c r="H218" s="158"/>
      <c r="I218" s="158">
        <f>ROUND(E218*H218,2)</f>
        <v>0</v>
      </c>
      <c r="J218" s="158"/>
      <c r="K218" s="158">
        <f>ROUND(E218*J218,2)</f>
        <v>0</v>
      </c>
      <c r="L218" s="158">
        <v>21</v>
      </c>
      <c r="M218" s="158">
        <f>G218*(1+L218/100)</f>
        <v>0</v>
      </c>
      <c r="N218" s="148">
        <v>5.5079999999999997E-2</v>
      </c>
      <c r="O218" s="148">
        <f>ROUND(E218*N218,5)</f>
        <v>0.54157</v>
      </c>
      <c r="P218" s="148">
        <v>0</v>
      </c>
      <c r="Q218" s="148">
        <f>ROUND(E218*P218,5)</f>
        <v>0</v>
      </c>
      <c r="R218" s="148"/>
      <c r="S218" s="148"/>
      <c r="T218" s="149">
        <v>2.0209999999999999</v>
      </c>
      <c r="U218" s="148">
        <f>ROUND(E218*T218,2)</f>
        <v>19.87</v>
      </c>
      <c r="V218" s="140"/>
      <c r="W218" s="140"/>
      <c r="X218" s="140"/>
      <c r="Y218" s="140"/>
      <c r="Z218" s="140"/>
      <c r="AA218" s="140"/>
      <c r="AB218" s="140"/>
      <c r="AC218" s="140"/>
      <c r="AD218" s="140"/>
      <c r="AE218" s="140" t="s">
        <v>128</v>
      </c>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1" x14ac:dyDescent="0.25">
      <c r="A219" s="141"/>
      <c r="B219" s="141"/>
      <c r="C219" s="179" t="s">
        <v>372</v>
      </c>
      <c r="D219" s="150"/>
      <c r="E219" s="155">
        <v>9.8324999999999996</v>
      </c>
      <c r="F219" s="158"/>
      <c r="G219" s="158"/>
      <c r="H219" s="158"/>
      <c r="I219" s="158"/>
      <c r="J219" s="158"/>
      <c r="K219" s="158"/>
      <c r="L219" s="158"/>
      <c r="M219" s="158"/>
      <c r="N219" s="148"/>
      <c r="O219" s="148"/>
      <c r="P219" s="148"/>
      <c r="Q219" s="148"/>
      <c r="R219" s="148"/>
      <c r="S219" s="148"/>
      <c r="T219" s="149"/>
      <c r="U219" s="148"/>
      <c r="V219" s="140"/>
      <c r="W219" s="140"/>
      <c r="X219" s="140"/>
      <c r="Y219" s="140"/>
      <c r="Z219" s="140"/>
      <c r="AA219" s="140"/>
      <c r="AB219" s="140"/>
      <c r="AC219" s="140"/>
      <c r="AD219" s="140"/>
      <c r="AE219" s="140" t="s">
        <v>130</v>
      </c>
      <c r="AF219" s="140">
        <v>0</v>
      </c>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ht="20" outlineLevel="1" x14ac:dyDescent="0.25">
      <c r="A220" s="141">
        <v>78</v>
      </c>
      <c r="B220" s="141" t="s">
        <v>373</v>
      </c>
      <c r="C220" s="178" t="s">
        <v>374</v>
      </c>
      <c r="D220" s="147" t="s">
        <v>139</v>
      </c>
      <c r="E220" s="154">
        <v>51.06</v>
      </c>
      <c r="F220" s="157"/>
      <c r="G220" s="158">
        <f>ROUND(E220*F220,2)</f>
        <v>0</v>
      </c>
      <c r="H220" s="158"/>
      <c r="I220" s="158">
        <f>ROUND(E220*H220,2)</f>
        <v>0</v>
      </c>
      <c r="J220" s="158"/>
      <c r="K220" s="158">
        <f>ROUND(E220*J220,2)</f>
        <v>0</v>
      </c>
      <c r="L220" s="158">
        <v>21</v>
      </c>
      <c r="M220" s="158">
        <f>G220*(1+L220/100)</f>
        <v>0</v>
      </c>
      <c r="N220" s="148">
        <v>2.2270000000000002E-2</v>
      </c>
      <c r="O220" s="148">
        <f>ROUND(E220*N220,5)</f>
        <v>1.1371100000000001</v>
      </c>
      <c r="P220" s="148">
        <v>0</v>
      </c>
      <c r="Q220" s="148">
        <f>ROUND(E220*P220,5)</f>
        <v>0</v>
      </c>
      <c r="R220" s="148"/>
      <c r="S220" s="148"/>
      <c r="T220" s="149">
        <v>1.018</v>
      </c>
      <c r="U220" s="148">
        <f>ROUND(E220*T220,2)</f>
        <v>51.98</v>
      </c>
      <c r="V220" s="140"/>
      <c r="W220" s="140"/>
      <c r="X220" s="140"/>
      <c r="Y220" s="140"/>
      <c r="Z220" s="140"/>
      <c r="AA220" s="140"/>
      <c r="AB220" s="140"/>
      <c r="AC220" s="140"/>
      <c r="AD220" s="140"/>
      <c r="AE220" s="140" t="s">
        <v>128</v>
      </c>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1" x14ac:dyDescent="0.25">
      <c r="A221" s="141"/>
      <c r="B221" s="141"/>
      <c r="C221" s="179" t="s">
        <v>375</v>
      </c>
      <c r="D221" s="150"/>
      <c r="E221" s="155">
        <v>51.06</v>
      </c>
      <c r="F221" s="158"/>
      <c r="G221" s="158"/>
      <c r="H221" s="158"/>
      <c r="I221" s="158"/>
      <c r="J221" s="158"/>
      <c r="K221" s="158"/>
      <c r="L221" s="158"/>
      <c r="M221" s="158"/>
      <c r="N221" s="148"/>
      <c r="O221" s="148"/>
      <c r="P221" s="148"/>
      <c r="Q221" s="148"/>
      <c r="R221" s="148"/>
      <c r="S221" s="148"/>
      <c r="T221" s="149"/>
      <c r="U221" s="148"/>
      <c r="V221" s="140"/>
      <c r="W221" s="140"/>
      <c r="X221" s="140"/>
      <c r="Y221" s="140"/>
      <c r="Z221" s="140"/>
      <c r="AA221" s="140"/>
      <c r="AB221" s="140"/>
      <c r="AC221" s="140"/>
      <c r="AD221" s="140"/>
      <c r="AE221" s="140" t="s">
        <v>130</v>
      </c>
      <c r="AF221" s="140">
        <v>0</v>
      </c>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ht="20" outlineLevel="1" x14ac:dyDescent="0.25">
      <c r="A222" s="141">
        <v>79</v>
      </c>
      <c r="B222" s="141" t="s">
        <v>376</v>
      </c>
      <c r="C222" s="178" t="s">
        <v>377</v>
      </c>
      <c r="D222" s="147" t="s">
        <v>139</v>
      </c>
      <c r="E222" s="154">
        <v>6.5549999999999997</v>
      </c>
      <c r="F222" s="157"/>
      <c r="G222" s="158">
        <f>ROUND(E222*F222,2)</f>
        <v>0</v>
      </c>
      <c r="H222" s="158"/>
      <c r="I222" s="158">
        <f>ROUND(E222*H222,2)</f>
        <v>0</v>
      </c>
      <c r="J222" s="158"/>
      <c r="K222" s="158">
        <f>ROUND(E222*J222,2)</f>
        <v>0</v>
      </c>
      <c r="L222" s="158">
        <v>21</v>
      </c>
      <c r="M222" s="158">
        <f>G222*(1+L222/100)</f>
        <v>0</v>
      </c>
      <c r="N222" s="148">
        <v>2.1049999999999999E-2</v>
      </c>
      <c r="O222" s="148">
        <f>ROUND(E222*N222,5)</f>
        <v>0.13797999999999999</v>
      </c>
      <c r="P222" s="148">
        <v>0</v>
      </c>
      <c r="Q222" s="148">
        <f>ROUND(E222*P222,5)</f>
        <v>0</v>
      </c>
      <c r="R222" s="148"/>
      <c r="S222" s="148"/>
      <c r="T222" s="149">
        <v>0.99099999999999999</v>
      </c>
      <c r="U222" s="148">
        <f>ROUND(E222*T222,2)</f>
        <v>6.5</v>
      </c>
      <c r="V222" s="140"/>
      <c r="W222" s="140"/>
      <c r="X222" s="140"/>
      <c r="Y222" s="140"/>
      <c r="Z222" s="140"/>
      <c r="AA222" s="140"/>
      <c r="AB222" s="140"/>
      <c r="AC222" s="140"/>
      <c r="AD222" s="140"/>
      <c r="AE222" s="140" t="s">
        <v>128</v>
      </c>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1" x14ac:dyDescent="0.25">
      <c r="A223" s="141"/>
      <c r="B223" s="141"/>
      <c r="C223" s="179" t="s">
        <v>378</v>
      </c>
      <c r="D223" s="150"/>
      <c r="E223" s="155">
        <v>6.5549999999999997</v>
      </c>
      <c r="F223" s="158"/>
      <c r="G223" s="158"/>
      <c r="H223" s="158"/>
      <c r="I223" s="158"/>
      <c r="J223" s="158"/>
      <c r="K223" s="158"/>
      <c r="L223" s="158"/>
      <c r="M223" s="158"/>
      <c r="N223" s="148"/>
      <c r="O223" s="148"/>
      <c r="P223" s="148"/>
      <c r="Q223" s="148"/>
      <c r="R223" s="148"/>
      <c r="S223" s="148"/>
      <c r="T223" s="149"/>
      <c r="U223" s="148"/>
      <c r="V223" s="140"/>
      <c r="W223" s="140"/>
      <c r="X223" s="140"/>
      <c r="Y223" s="140"/>
      <c r="Z223" s="140"/>
      <c r="AA223" s="140"/>
      <c r="AB223" s="140"/>
      <c r="AC223" s="140"/>
      <c r="AD223" s="140"/>
      <c r="AE223" s="140" t="s">
        <v>130</v>
      </c>
      <c r="AF223" s="140">
        <v>0</v>
      </c>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1" x14ac:dyDescent="0.25">
      <c r="A224" s="141">
        <v>80</v>
      </c>
      <c r="B224" s="141" t="s">
        <v>379</v>
      </c>
      <c r="C224" s="178" t="s">
        <v>380</v>
      </c>
      <c r="D224" s="147" t="s">
        <v>203</v>
      </c>
      <c r="E224" s="154">
        <v>10.25</v>
      </c>
      <c r="F224" s="157"/>
      <c r="G224" s="158">
        <f>ROUND(E224*F224,2)</f>
        <v>0</v>
      </c>
      <c r="H224" s="158"/>
      <c r="I224" s="158">
        <f>ROUND(E224*H224,2)</f>
        <v>0</v>
      </c>
      <c r="J224" s="158"/>
      <c r="K224" s="158">
        <f>ROUND(E224*J224,2)</f>
        <v>0</v>
      </c>
      <c r="L224" s="158">
        <v>21</v>
      </c>
      <c r="M224" s="158">
        <f>G224*(1+L224/100)</f>
        <v>0</v>
      </c>
      <c r="N224" s="148">
        <v>0</v>
      </c>
      <c r="O224" s="148">
        <f>ROUND(E224*N224,5)</f>
        <v>0</v>
      </c>
      <c r="P224" s="148">
        <v>0</v>
      </c>
      <c r="Q224" s="148">
        <f>ROUND(E224*P224,5)</f>
        <v>0</v>
      </c>
      <c r="R224" s="148"/>
      <c r="S224" s="148"/>
      <c r="T224" s="149">
        <v>0</v>
      </c>
      <c r="U224" s="148">
        <f>ROUND(E224*T224,2)</f>
        <v>0</v>
      </c>
      <c r="V224" s="140"/>
      <c r="W224" s="140"/>
      <c r="X224" s="140"/>
      <c r="Y224" s="140"/>
      <c r="Z224" s="140"/>
      <c r="AA224" s="140"/>
      <c r="AB224" s="140"/>
      <c r="AC224" s="140"/>
      <c r="AD224" s="140"/>
      <c r="AE224" s="140" t="s">
        <v>128</v>
      </c>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1" x14ac:dyDescent="0.25">
      <c r="A225" s="141"/>
      <c r="B225" s="141"/>
      <c r="C225" s="179" t="s">
        <v>381</v>
      </c>
      <c r="D225" s="150"/>
      <c r="E225" s="155">
        <v>10.25</v>
      </c>
      <c r="F225" s="158"/>
      <c r="G225" s="158"/>
      <c r="H225" s="158"/>
      <c r="I225" s="158"/>
      <c r="J225" s="158"/>
      <c r="K225" s="158"/>
      <c r="L225" s="158"/>
      <c r="M225" s="158"/>
      <c r="N225" s="148"/>
      <c r="O225" s="148"/>
      <c r="P225" s="148"/>
      <c r="Q225" s="148"/>
      <c r="R225" s="148"/>
      <c r="S225" s="148"/>
      <c r="T225" s="149"/>
      <c r="U225" s="148"/>
      <c r="V225" s="140"/>
      <c r="W225" s="140"/>
      <c r="X225" s="140"/>
      <c r="Y225" s="140"/>
      <c r="Z225" s="140"/>
      <c r="AA225" s="140"/>
      <c r="AB225" s="140"/>
      <c r="AC225" s="140"/>
      <c r="AD225" s="140"/>
      <c r="AE225" s="140" t="s">
        <v>130</v>
      </c>
      <c r="AF225" s="140">
        <v>0</v>
      </c>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1" x14ac:dyDescent="0.25">
      <c r="A226" s="141">
        <v>81</v>
      </c>
      <c r="B226" s="141" t="s">
        <v>382</v>
      </c>
      <c r="C226" s="178" t="s">
        <v>383</v>
      </c>
      <c r="D226" s="147" t="s">
        <v>136</v>
      </c>
      <c r="E226" s="154">
        <v>2</v>
      </c>
      <c r="F226" s="157"/>
      <c r="G226" s="158">
        <f>ROUND(E226*F226,2)</f>
        <v>0</v>
      </c>
      <c r="H226" s="158"/>
      <c r="I226" s="158">
        <f>ROUND(E226*H226,2)</f>
        <v>0</v>
      </c>
      <c r="J226" s="158"/>
      <c r="K226" s="158">
        <f>ROUND(E226*J226,2)</f>
        <v>0</v>
      </c>
      <c r="L226" s="158">
        <v>21</v>
      </c>
      <c r="M226" s="158">
        <f>G226*(1+L226/100)</f>
        <v>0</v>
      </c>
      <c r="N226" s="148">
        <v>1.6000000000000001E-4</v>
      </c>
      <c r="O226" s="148">
        <f>ROUND(E226*N226,5)</f>
        <v>3.2000000000000003E-4</v>
      </c>
      <c r="P226" s="148">
        <v>0</v>
      </c>
      <c r="Q226" s="148">
        <f>ROUND(E226*P226,5)</f>
        <v>0</v>
      </c>
      <c r="R226" s="148"/>
      <c r="S226" s="148"/>
      <c r="T226" s="149">
        <v>0.94</v>
      </c>
      <c r="U226" s="148">
        <f>ROUND(E226*T226,2)</f>
        <v>1.88</v>
      </c>
      <c r="V226" s="140"/>
      <c r="W226" s="140"/>
      <c r="X226" s="140"/>
      <c r="Y226" s="140"/>
      <c r="Z226" s="140"/>
      <c r="AA226" s="140"/>
      <c r="AB226" s="140"/>
      <c r="AC226" s="140"/>
      <c r="AD226" s="140"/>
      <c r="AE226" s="140" t="s">
        <v>128</v>
      </c>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1" x14ac:dyDescent="0.25">
      <c r="A227" s="141"/>
      <c r="B227" s="141"/>
      <c r="C227" s="179" t="s">
        <v>384</v>
      </c>
      <c r="D227" s="150"/>
      <c r="E227" s="155">
        <v>2</v>
      </c>
      <c r="F227" s="158"/>
      <c r="G227" s="158"/>
      <c r="H227" s="158"/>
      <c r="I227" s="158"/>
      <c r="J227" s="158"/>
      <c r="K227" s="158"/>
      <c r="L227" s="158"/>
      <c r="M227" s="158"/>
      <c r="N227" s="148"/>
      <c r="O227" s="148"/>
      <c r="P227" s="148"/>
      <c r="Q227" s="148"/>
      <c r="R227" s="148"/>
      <c r="S227" s="148"/>
      <c r="T227" s="149"/>
      <c r="U227" s="148"/>
      <c r="V227" s="140"/>
      <c r="W227" s="140"/>
      <c r="X227" s="140"/>
      <c r="Y227" s="140"/>
      <c r="Z227" s="140"/>
      <c r="AA227" s="140"/>
      <c r="AB227" s="140"/>
      <c r="AC227" s="140"/>
      <c r="AD227" s="140"/>
      <c r="AE227" s="140" t="s">
        <v>130</v>
      </c>
      <c r="AF227" s="140">
        <v>0</v>
      </c>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ht="20" outlineLevel="1" x14ac:dyDescent="0.25">
      <c r="A228" s="141">
        <v>82</v>
      </c>
      <c r="B228" s="141" t="s">
        <v>385</v>
      </c>
      <c r="C228" s="178" t="s">
        <v>386</v>
      </c>
      <c r="D228" s="147" t="s">
        <v>136</v>
      </c>
      <c r="E228" s="154">
        <v>2</v>
      </c>
      <c r="F228" s="157"/>
      <c r="G228" s="158">
        <f>ROUND(E228*F228,2)</f>
        <v>0</v>
      </c>
      <c r="H228" s="158"/>
      <c r="I228" s="158">
        <f>ROUND(E228*H228,2)</f>
        <v>0</v>
      </c>
      <c r="J228" s="158"/>
      <c r="K228" s="158">
        <f>ROUND(E228*J228,2)</f>
        <v>0</v>
      </c>
      <c r="L228" s="158">
        <v>21</v>
      </c>
      <c r="M228" s="158">
        <f>G228*(1+L228/100)</f>
        <v>0</v>
      </c>
      <c r="N228" s="148">
        <v>8.9999999999999998E-4</v>
      </c>
      <c r="O228" s="148">
        <f>ROUND(E228*N228,5)</f>
        <v>1.8E-3</v>
      </c>
      <c r="P228" s="148">
        <v>0</v>
      </c>
      <c r="Q228" s="148">
        <f>ROUND(E228*P228,5)</f>
        <v>0</v>
      </c>
      <c r="R228" s="148"/>
      <c r="S228" s="148"/>
      <c r="T228" s="149">
        <v>0</v>
      </c>
      <c r="U228" s="148">
        <f>ROUND(E228*T228,2)</f>
        <v>0</v>
      </c>
      <c r="V228" s="140"/>
      <c r="W228" s="140"/>
      <c r="X228" s="140"/>
      <c r="Y228" s="140"/>
      <c r="Z228" s="140"/>
      <c r="AA228" s="140"/>
      <c r="AB228" s="140"/>
      <c r="AC228" s="140"/>
      <c r="AD228" s="140"/>
      <c r="AE228" s="140" t="s">
        <v>334</v>
      </c>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1" x14ac:dyDescent="0.25">
      <c r="A229" s="141"/>
      <c r="B229" s="141"/>
      <c r="C229" s="179" t="s">
        <v>384</v>
      </c>
      <c r="D229" s="150"/>
      <c r="E229" s="155">
        <v>2</v>
      </c>
      <c r="F229" s="158"/>
      <c r="G229" s="158"/>
      <c r="H229" s="158"/>
      <c r="I229" s="158"/>
      <c r="J229" s="158"/>
      <c r="K229" s="158"/>
      <c r="L229" s="158"/>
      <c r="M229" s="158"/>
      <c r="N229" s="148"/>
      <c r="O229" s="148"/>
      <c r="P229" s="148"/>
      <c r="Q229" s="148"/>
      <c r="R229" s="148"/>
      <c r="S229" s="148"/>
      <c r="T229" s="149"/>
      <c r="U229" s="148"/>
      <c r="V229" s="140"/>
      <c r="W229" s="140"/>
      <c r="X229" s="140"/>
      <c r="Y229" s="140"/>
      <c r="Z229" s="140"/>
      <c r="AA229" s="140"/>
      <c r="AB229" s="140"/>
      <c r="AC229" s="140"/>
      <c r="AD229" s="140"/>
      <c r="AE229" s="140" t="s">
        <v>130</v>
      </c>
      <c r="AF229" s="140">
        <v>0</v>
      </c>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ht="20" outlineLevel="1" x14ac:dyDescent="0.25">
      <c r="A230" s="141">
        <v>83</v>
      </c>
      <c r="B230" s="141" t="s">
        <v>387</v>
      </c>
      <c r="C230" s="178" t="s">
        <v>388</v>
      </c>
      <c r="D230" s="147" t="s">
        <v>139</v>
      </c>
      <c r="E230" s="154">
        <v>128.66</v>
      </c>
      <c r="F230" s="157"/>
      <c r="G230" s="158">
        <f>ROUND(E230*F230,2)</f>
        <v>0</v>
      </c>
      <c r="H230" s="158"/>
      <c r="I230" s="158">
        <f>ROUND(E230*H230,2)</f>
        <v>0</v>
      </c>
      <c r="J230" s="158"/>
      <c r="K230" s="158">
        <f>ROUND(E230*J230,2)</f>
        <v>0</v>
      </c>
      <c r="L230" s="158">
        <v>21</v>
      </c>
      <c r="M230" s="158">
        <f>G230*(1+L230/100)</f>
        <v>0</v>
      </c>
      <c r="N230" s="148">
        <v>4.1000000000000003E-3</v>
      </c>
      <c r="O230" s="148">
        <f>ROUND(E230*N230,5)</f>
        <v>0.52751000000000003</v>
      </c>
      <c r="P230" s="148">
        <v>0</v>
      </c>
      <c r="Q230" s="148">
        <f>ROUND(E230*P230,5)</f>
        <v>0</v>
      </c>
      <c r="R230" s="148"/>
      <c r="S230" s="148"/>
      <c r="T230" s="149">
        <v>0.42</v>
      </c>
      <c r="U230" s="148">
        <f>ROUND(E230*T230,2)</f>
        <v>54.04</v>
      </c>
      <c r="V230" s="140"/>
      <c r="W230" s="140"/>
      <c r="X230" s="140"/>
      <c r="Y230" s="140"/>
      <c r="Z230" s="140"/>
      <c r="AA230" s="140"/>
      <c r="AB230" s="140"/>
      <c r="AC230" s="140"/>
      <c r="AD230" s="140"/>
      <c r="AE230" s="140" t="s">
        <v>128</v>
      </c>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1" x14ac:dyDescent="0.25">
      <c r="A231" s="141"/>
      <c r="B231" s="141"/>
      <c r="C231" s="179" t="s">
        <v>210</v>
      </c>
      <c r="D231" s="150"/>
      <c r="E231" s="155">
        <v>40.19</v>
      </c>
      <c r="F231" s="158"/>
      <c r="G231" s="158"/>
      <c r="H231" s="158"/>
      <c r="I231" s="158"/>
      <c r="J231" s="158"/>
      <c r="K231" s="158"/>
      <c r="L231" s="158"/>
      <c r="M231" s="158"/>
      <c r="N231" s="148"/>
      <c r="O231" s="148"/>
      <c r="P231" s="148"/>
      <c r="Q231" s="148"/>
      <c r="R231" s="148"/>
      <c r="S231" s="148"/>
      <c r="T231" s="149"/>
      <c r="U231" s="148"/>
      <c r="V231" s="140"/>
      <c r="W231" s="140"/>
      <c r="X231" s="140"/>
      <c r="Y231" s="140"/>
      <c r="Z231" s="140"/>
      <c r="AA231" s="140"/>
      <c r="AB231" s="140"/>
      <c r="AC231" s="140"/>
      <c r="AD231" s="140"/>
      <c r="AE231" s="140" t="s">
        <v>130</v>
      </c>
      <c r="AF231" s="140">
        <v>0</v>
      </c>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x14ac:dyDescent="0.25">
      <c r="A232" s="141"/>
      <c r="B232" s="141"/>
      <c r="C232" s="179" t="s">
        <v>389</v>
      </c>
      <c r="D232" s="150"/>
      <c r="E232" s="155">
        <v>22.02</v>
      </c>
      <c r="F232" s="158"/>
      <c r="G232" s="158"/>
      <c r="H232" s="158"/>
      <c r="I232" s="158"/>
      <c r="J232" s="158"/>
      <c r="K232" s="158"/>
      <c r="L232" s="158"/>
      <c r="M232" s="158"/>
      <c r="N232" s="148"/>
      <c r="O232" s="148"/>
      <c r="P232" s="148"/>
      <c r="Q232" s="148"/>
      <c r="R232" s="148"/>
      <c r="S232" s="148"/>
      <c r="T232" s="149"/>
      <c r="U232" s="148"/>
      <c r="V232" s="140"/>
      <c r="W232" s="140"/>
      <c r="X232" s="140"/>
      <c r="Y232" s="140"/>
      <c r="Z232" s="140"/>
      <c r="AA232" s="140"/>
      <c r="AB232" s="140"/>
      <c r="AC232" s="140"/>
      <c r="AD232" s="140"/>
      <c r="AE232" s="140" t="s">
        <v>130</v>
      </c>
      <c r="AF232" s="140">
        <v>0</v>
      </c>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1" x14ac:dyDescent="0.25">
      <c r="A233" s="141"/>
      <c r="B233" s="141"/>
      <c r="C233" s="179" t="s">
        <v>390</v>
      </c>
      <c r="D233" s="150"/>
      <c r="E233" s="155">
        <v>66.45</v>
      </c>
      <c r="F233" s="158"/>
      <c r="G233" s="158"/>
      <c r="H233" s="158"/>
      <c r="I233" s="158"/>
      <c r="J233" s="158"/>
      <c r="K233" s="158"/>
      <c r="L233" s="158"/>
      <c r="M233" s="158"/>
      <c r="N233" s="148"/>
      <c r="O233" s="148"/>
      <c r="P233" s="148"/>
      <c r="Q233" s="148"/>
      <c r="R233" s="148"/>
      <c r="S233" s="148"/>
      <c r="T233" s="149"/>
      <c r="U233" s="148"/>
      <c r="V233" s="140"/>
      <c r="W233" s="140"/>
      <c r="X233" s="140"/>
      <c r="Y233" s="140"/>
      <c r="Z233" s="140"/>
      <c r="AA233" s="140"/>
      <c r="AB233" s="140"/>
      <c r="AC233" s="140"/>
      <c r="AD233" s="140"/>
      <c r="AE233" s="140" t="s">
        <v>130</v>
      </c>
      <c r="AF233" s="140">
        <v>0</v>
      </c>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x14ac:dyDescent="0.25">
      <c r="A234" s="141">
        <v>84</v>
      </c>
      <c r="B234" s="141" t="s">
        <v>391</v>
      </c>
      <c r="C234" s="178" t="s">
        <v>392</v>
      </c>
      <c r="D234" s="147" t="s">
        <v>203</v>
      </c>
      <c r="E234" s="154">
        <v>50</v>
      </c>
      <c r="F234" s="157"/>
      <c r="G234" s="158">
        <f>ROUND(E234*F234,2)</f>
        <v>0</v>
      </c>
      <c r="H234" s="158"/>
      <c r="I234" s="158">
        <f>ROUND(E234*H234,2)</f>
        <v>0</v>
      </c>
      <c r="J234" s="158"/>
      <c r="K234" s="158">
        <f>ROUND(E234*J234,2)</f>
        <v>0</v>
      </c>
      <c r="L234" s="158">
        <v>21</v>
      </c>
      <c r="M234" s="158">
        <f>G234*(1+L234/100)</f>
        <v>0</v>
      </c>
      <c r="N234" s="148">
        <v>0</v>
      </c>
      <c r="O234" s="148">
        <f>ROUND(E234*N234,5)</f>
        <v>0</v>
      </c>
      <c r="P234" s="148">
        <v>0</v>
      </c>
      <c r="Q234" s="148">
        <f>ROUND(E234*P234,5)</f>
        <v>0</v>
      </c>
      <c r="R234" s="148"/>
      <c r="S234" s="148"/>
      <c r="T234" s="149">
        <v>0</v>
      </c>
      <c r="U234" s="148">
        <f>ROUND(E234*T234,2)</f>
        <v>0</v>
      </c>
      <c r="V234" s="140"/>
      <c r="W234" s="140"/>
      <c r="X234" s="140"/>
      <c r="Y234" s="140"/>
      <c r="Z234" s="140"/>
      <c r="AA234" s="140"/>
      <c r="AB234" s="140"/>
      <c r="AC234" s="140"/>
      <c r="AD234" s="140"/>
      <c r="AE234" s="140" t="s">
        <v>128</v>
      </c>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1" x14ac:dyDescent="0.25">
      <c r="A235" s="141"/>
      <c r="B235" s="141"/>
      <c r="C235" s="179" t="s">
        <v>393</v>
      </c>
      <c r="D235" s="150"/>
      <c r="E235" s="155">
        <v>50</v>
      </c>
      <c r="F235" s="158"/>
      <c r="G235" s="158"/>
      <c r="H235" s="158"/>
      <c r="I235" s="158"/>
      <c r="J235" s="158"/>
      <c r="K235" s="158"/>
      <c r="L235" s="158"/>
      <c r="M235" s="158"/>
      <c r="N235" s="148"/>
      <c r="O235" s="148"/>
      <c r="P235" s="148"/>
      <c r="Q235" s="148"/>
      <c r="R235" s="148"/>
      <c r="S235" s="148"/>
      <c r="T235" s="149"/>
      <c r="U235" s="148"/>
      <c r="V235" s="140"/>
      <c r="W235" s="140"/>
      <c r="X235" s="140"/>
      <c r="Y235" s="140"/>
      <c r="Z235" s="140"/>
      <c r="AA235" s="140"/>
      <c r="AB235" s="140"/>
      <c r="AC235" s="140"/>
      <c r="AD235" s="140"/>
      <c r="AE235" s="140" t="s">
        <v>130</v>
      </c>
      <c r="AF235" s="140">
        <v>0</v>
      </c>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x14ac:dyDescent="0.25">
      <c r="A236" s="141">
        <v>85</v>
      </c>
      <c r="B236" s="141" t="s">
        <v>394</v>
      </c>
      <c r="C236" s="178" t="s">
        <v>395</v>
      </c>
      <c r="D236" s="147" t="s">
        <v>154</v>
      </c>
      <c r="E236" s="154">
        <v>10.798360000000001</v>
      </c>
      <c r="F236" s="157"/>
      <c r="G236" s="158">
        <f>ROUND(E236*F236,2)</f>
        <v>0</v>
      </c>
      <c r="H236" s="158"/>
      <c r="I236" s="158">
        <f>ROUND(E236*H236,2)</f>
        <v>0</v>
      </c>
      <c r="J236" s="158"/>
      <c r="K236" s="158">
        <f>ROUND(E236*J236,2)</f>
        <v>0</v>
      </c>
      <c r="L236" s="158">
        <v>21</v>
      </c>
      <c r="M236" s="158">
        <f>G236*(1+L236/100)</f>
        <v>0</v>
      </c>
      <c r="N236" s="148">
        <v>0</v>
      </c>
      <c r="O236" s="148">
        <f>ROUND(E236*N236,5)</f>
        <v>0</v>
      </c>
      <c r="P236" s="148">
        <v>0</v>
      </c>
      <c r="Q236" s="148">
        <f>ROUND(E236*P236,5)</f>
        <v>0</v>
      </c>
      <c r="R236" s="148"/>
      <c r="S236" s="148"/>
      <c r="T236" s="149">
        <v>1.1559999999999999</v>
      </c>
      <c r="U236" s="148">
        <f>ROUND(E236*T236,2)</f>
        <v>12.48</v>
      </c>
      <c r="V236" s="140"/>
      <c r="W236" s="140"/>
      <c r="X236" s="140"/>
      <c r="Y236" s="140"/>
      <c r="Z236" s="140"/>
      <c r="AA236" s="140"/>
      <c r="AB236" s="140"/>
      <c r="AC236" s="140"/>
      <c r="AD236" s="140"/>
      <c r="AE236" s="140" t="s">
        <v>128</v>
      </c>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x14ac:dyDescent="0.25">
      <c r="A237" s="142" t="s">
        <v>123</v>
      </c>
      <c r="B237" s="142" t="s">
        <v>80</v>
      </c>
      <c r="C237" s="180" t="s">
        <v>81</v>
      </c>
      <c r="D237" s="151"/>
      <c r="E237" s="156"/>
      <c r="F237" s="159"/>
      <c r="G237" s="159">
        <f>SUMIF(AE238:AE278,"&lt;&gt;NOR",G238:G278)</f>
        <v>0</v>
      </c>
      <c r="H237" s="159"/>
      <c r="I237" s="159">
        <f>SUM(I238:I278)</f>
        <v>0</v>
      </c>
      <c r="J237" s="159"/>
      <c r="K237" s="159">
        <f>SUM(K238:K278)</f>
        <v>0</v>
      </c>
      <c r="L237" s="159"/>
      <c r="M237" s="159">
        <f>SUM(M238:M278)</f>
        <v>0</v>
      </c>
      <c r="N237" s="152"/>
      <c r="O237" s="152">
        <f>SUM(O238:O278)</f>
        <v>0.45</v>
      </c>
      <c r="P237" s="152"/>
      <c r="Q237" s="152">
        <f>SUM(Q238:Q278)</f>
        <v>0</v>
      </c>
      <c r="R237" s="152"/>
      <c r="S237" s="152"/>
      <c r="T237" s="153"/>
      <c r="U237" s="152">
        <f>SUM(U238:U278)</f>
        <v>23.61</v>
      </c>
      <c r="AE237" t="s">
        <v>124</v>
      </c>
    </row>
    <row r="238" spans="1:60" outlineLevel="1" x14ac:dyDescent="0.25">
      <c r="A238" s="141">
        <v>86</v>
      </c>
      <c r="B238" s="141" t="s">
        <v>396</v>
      </c>
      <c r="C238" s="178" t="s">
        <v>397</v>
      </c>
      <c r="D238" s="147" t="s">
        <v>136</v>
      </c>
      <c r="E238" s="154">
        <v>8</v>
      </c>
      <c r="F238" s="157"/>
      <c r="G238" s="158">
        <f>ROUND(E238*F238,2)</f>
        <v>0</v>
      </c>
      <c r="H238" s="158"/>
      <c r="I238" s="158">
        <f>ROUND(E238*H238,2)</f>
        <v>0</v>
      </c>
      <c r="J238" s="158"/>
      <c r="K238" s="158">
        <f>ROUND(E238*J238,2)</f>
        <v>0</v>
      </c>
      <c r="L238" s="158">
        <v>21</v>
      </c>
      <c r="M238" s="158">
        <f>G238*(1+L238/100)</f>
        <v>0</v>
      </c>
      <c r="N238" s="148">
        <v>0</v>
      </c>
      <c r="O238" s="148">
        <f>ROUND(E238*N238,5)</f>
        <v>0</v>
      </c>
      <c r="P238" s="148">
        <v>0</v>
      </c>
      <c r="Q238" s="148">
        <f>ROUND(E238*P238,5)</f>
        <v>0</v>
      </c>
      <c r="R238" s="148"/>
      <c r="S238" s="148"/>
      <c r="T238" s="149">
        <v>1.5</v>
      </c>
      <c r="U238" s="148">
        <f>ROUND(E238*T238,2)</f>
        <v>12</v>
      </c>
      <c r="V238" s="140"/>
      <c r="W238" s="140"/>
      <c r="X238" s="140"/>
      <c r="Y238" s="140"/>
      <c r="Z238" s="140"/>
      <c r="AA238" s="140"/>
      <c r="AB238" s="140"/>
      <c r="AC238" s="140"/>
      <c r="AD238" s="140"/>
      <c r="AE238" s="140" t="s">
        <v>128</v>
      </c>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x14ac:dyDescent="0.25">
      <c r="A239" s="141"/>
      <c r="B239" s="141"/>
      <c r="C239" s="179" t="s">
        <v>186</v>
      </c>
      <c r="D239" s="150"/>
      <c r="E239" s="155">
        <v>1</v>
      </c>
      <c r="F239" s="158"/>
      <c r="G239" s="158"/>
      <c r="H239" s="158"/>
      <c r="I239" s="158"/>
      <c r="J239" s="158"/>
      <c r="K239" s="158"/>
      <c r="L239" s="158"/>
      <c r="M239" s="158"/>
      <c r="N239" s="148"/>
      <c r="O239" s="148"/>
      <c r="P239" s="148"/>
      <c r="Q239" s="148"/>
      <c r="R239" s="148"/>
      <c r="S239" s="148"/>
      <c r="T239" s="149"/>
      <c r="U239" s="148"/>
      <c r="V239" s="140"/>
      <c r="W239" s="140"/>
      <c r="X239" s="140"/>
      <c r="Y239" s="140"/>
      <c r="Z239" s="140"/>
      <c r="AA239" s="140"/>
      <c r="AB239" s="140"/>
      <c r="AC239" s="140"/>
      <c r="AD239" s="140"/>
      <c r="AE239" s="140" t="s">
        <v>130</v>
      </c>
      <c r="AF239" s="140">
        <v>0</v>
      </c>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1" x14ac:dyDescent="0.25">
      <c r="A240" s="141"/>
      <c r="B240" s="141"/>
      <c r="C240" s="179" t="s">
        <v>194</v>
      </c>
      <c r="D240" s="150"/>
      <c r="E240" s="155">
        <v>1</v>
      </c>
      <c r="F240" s="158"/>
      <c r="G240" s="158"/>
      <c r="H240" s="158"/>
      <c r="I240" s="158"/>
      <c r="J240" s="158"/>
      <c r="K240" s="158"/>
      <c r="L240" s="158"/>
      <c r="M240" s="158"/>
      <c r="N240" s="148"/>
      <c r="O240" s="148"/>
      <c r="P240" s="148"/>
      <c r="Q240" s="148"/>
      <c r="R240" s="148"/>
      <c r="S240" s="148"/>
      <c r="T240" s="149"/>
      <c r="U240" s="148"/>
      <c r="V240" s="140"/>
      <c r="W240" s="140"/>
      <c r="X240" s="140"/>
      <c r="Y240" s="140"/>
      <c r="Z240" s="140"/>
      <c r="AA240" s="140"/>
      <c r="AB240" s="140"/>
      <c r="AC240" s="140"/>
      <c r="AD240" s="140"/>
      <c r="AE240" s="140" t="s">
        <v>130</v>
      </c>
      <c r="AF240" s="140">
        <v>0</v>
      </c>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1" x14ac:dyDescent="0.25">
      <c r="A241" s="141"/>
      <c r="B241" s="141"/>
      <c r="C241" s="179" t="s">
        <v>187</v>
      </c>
      <c r="D241" s="150"/>
      <c r="E241" s="155">
        <v>1</v>
      </c>
      <c r="F241" s="158"/>
      <c r="G241" s="158"/>
      <c r="H241" s="158"/>
      <c r="I241" s="158"/>
      <c r="J241" s="158"/>
      <c r="K241" s="158"/>
      <c r="L241" s="158"/>
      <c r="M241" s="158"/>
      <c r="N241" s="148"/>
      <c r="O241" s="148"/>
      <c r="P241" s="148"/>
      <c r="Q241" s="148"/>
      <c r="R241" s="148"/>
      <c r="S241" s="148"/>
      <c r="T241" s="149"/>
      <c r="U241" s="148"/>
      <c r="V241" s="140"/>
      <c r="W241" s="140"/>
      <c r="X241" s="140"/>
      <c r="Y241" s="140"/>
      <c r="Z241" s="140"/>
      <c r="AA241" s="140"/>
      <c r="AB241" s="140"/>
      <c r="AC241" s="140"/>
      <c r="AD241" s="140"/>
      <c r="AE241" s="140" t="s">
        <v>130</v>
      </c>
      <c r="AF241" s="140">
        <v>0</v>
      </c>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x14ac:dyDescent="0.25">
      <c r="A242" s="141"/>
      <c r="B242" s="141"/>
      <c r="C242" s="179" t="s">
        <v>188</v>
      </c>
      <c r="D242" s="150"/>
      <c r="E242" s="155">
        <v>1</v>
      </c>
      <c r="F242" s="158"/>
      <c r="G242" s="158"/>
      <c r="H242" s="158"/>
      <c r="I242" s="158"/>
      <c r="J242" s="158"/>
      <c r="K242" s="158"/>
      <c r="L242" s="158"/>
      <c r="M242" s="158"/>
      <c r="N242" s="148"/>
      <c r="O242" s="148"/>
      <c r="P242" s="148"/>
      <c r="Q242" s="148"/>
      <c r="R242" s="148"/>
      <c r="S242" s="148"/>
      <c r="T242" s="149"/>
      <c r="U242" s="148"/>
      <c r="V242" s="140"/>
      <c r="W242" s="140"/>
      <c r="X242" s="140"/>
      <c r="Y242" s="140"/>
      <c r="Z242" s="140"/>
      <c r="AA242" s="140"/>
      <c r="AB242" s="140"/>
      <c r="AC242" s="140"/>
      <c r="AD242" s="140"/>
      <c r="AE242" s="140" t="s">
        <v>130</v>
      </c>
      <c r="AF242" s="140">
        <v>0</v>
      </c>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1" x14ac:dyDescent="0.25">
      <c r="A243" s="141"/>
      <c r="B243" s="141"/>
      <c r="C243" s="179" t="s">
        <v>189</v>
      </c>
      <c r="D243" s="150"/>
      <c r="E243" s="155">
        <v>1</v>
      </c>
      <c r="F243" s="158"/>
      <c r="G243" s="158"/>
      <c r="H243" s="158"/>
      <c r="I243" s="158"/>
      <c r="J243" s="158"/>
      <c r="K243" s="158"/>
      <c r="L243" s="158"/>
      <c r="M243" s="158"/>
      <c r="N243" s="148"/>
      <c r="O243" s="148"/>
      <c r="P243" s="148"/>
      <c r="Q243" s="148"/>
      <c r="R243" s="148"/>
      <c r="S243" s="148"/>
      <c r="T243" s="149"/>
      <c r="U243" s="148"/>
      <c r="V243" s="140"/>
      <c r="W243" s="140"/>
      <c r="X243" s="140"/>
      <c r="Y243" s="140"/>
      <c r="Z243" s="140"/>
      <c r="AA243" s="140"/>
      <c r="AB243" s="140"/>
      <c r="AC243" s="140"/>
      <c r="AD243" s="140"/>
      <c r="AE243" s="140" t="s">
        <v>130</v>
      </c>
      <c r="AF243" s="140">
        <v>0</v>
      </c>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1" x14ac:dyDescent="0.25">
      <c r="A244" s="141"/>
      <c r="B244" s="141"/>
      <c r="C244" s="179" t="s">
        <v>190</v>
      </c>
      <c r="D244" s="150"/>
      <c r="E244" s="155">
        <v>1</v>
      </c>
      <c r="F244" s="158"/>
      <c r="G244" s="158"/>
      <c r="H244" s="158"/>
      <c r="I244" s="158"/>
      <c r="J244" s="158"/>
      <c r="K244" s="158"/>
      <c r="L244" s="158"/>
      <c r="M244" s="158"/>
      <c r="N244" s="148"/>
      <c r="O244" s="148"/>
      <c r="P244" s="148"/>
      <c r="Q244" s="148"/>
      <c r="R244" s="148"/>
      <c r="S244" s="148"/>
      <c r="T244" s="149"/>
      <c r="U244" s="148"/>
      <c r="V244" s="140"/>
      <c r="W244" s="140"/>
      <c r="X244" s="140"/>
      <c r="Y244" s="140"/>
      <c r="Z244" s="140"/>
      <c r="AA244" s="140"/>
      <c r="AB244" s="140"/>
      <c r="AC244" s="140"/>
      <c r="AD244" s="140"/>
      <c r="AE244" s="140" t="s">
        <v>130</v>
      </c>
      <c r="AF244" s="140">
        <v>0</v>
      </c>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1" x14ac:dyDescent="0.25">
      <c r="A245" s="141"/>
      <c r="B245" s="141"/>
      <c r="C245" s="179" t="s">
        <v>191</v>
      </c>
      <c r="D245" s="150"/>
      <c r="E245" s="155">
        <v>2</v>
      </c>
      <c r="F245" s="158"/>
      <c r="G245" s="158"/>
      <c r="H245" s="158"/>
      <c r="I245" s="158"/>
      <c r="J245" s="158"/>
      <c r="K245" s="158"/>
      <c r="L245" s="158"/>
      <c r="M245" s="158"/>
      <c r="N245" s="148"/>
      <c r="O245" s="148"/>
      <c r="P245" s="148"/>
      <c r="Q245" s="148"/>
      <c r="R245" s="148"/>
      <c r="S245" s="148"/>
      <c r="T245" s="149"/>
      <c r="U245" s="148"/>
      <c r="V245" s="140"/>
      <c r="W245" s="140"/>
      <c r="X245" s="140"/>
      <c r="Y245" s="140"/>
      <c r="Z245" s="140"/>
      <c r="AA245" s="140"/>
      <c r="AB245" s="140"/>
      <c r="AC245" s="140"/>
      <c r="AD245" s="140"/>
      <c r="AE245" s="140" t="s">
        <v>130</v>
      </c>
      <c r="AF245" s="140">
        <v>0</v>
      </c>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1" x14ac:dyDescent="0.25">
      <c r="A246" s="141">
        <v>87</v>
      </c>
      <c r="B246" s="141" t="s">
        <v>398</v>
      </c>
      <c r="C246" s="178" t="s">
        <v>399</v>
      </c>
      <c r="D246" s="147" t="s">
        <v>136</v>
      </c>
      <c r="E246" s="154">
        <v>1</v>
      </c>
      <c r="F246" s="157"/>
      <c r="G246" s="158">
        <f>ROUND(E246*F246,2)</f>
        <v>0</v>
      </c>
      <c r="H246" s="158"/>
      <c r="I246" s="158">
        <f>ROUND(E246*H246,2)</f>
        <v>0</v>
      </c>
      <c r="J246" s="158"/>
      <c r="K246" s="158">
        <f>ROUND(E246*J246,2)</f>
        <v>0</v>
      </c>
      <c r="L246" s="158">
        <v>21</v>
      </c>
      <c r="M246" s="158">
        <f>G246*(1+L246/100)</f>
        <v>0</v>
      </c>
      <c r="N246" s="148">
        <v>0</v>
      </c>
      <c r="O246" s="148">
        <f>ROUND(E246*N246,5)</f>
        <v>0</v>
      </c>
      <c r="P246" s="148">
        <v>0</v>
      </c>
      <c r="Q246" s="148">
        <f>ROUND(E246*P246,5)</f>
        <v>0</v>
      </c>
      <c r="R246" s="148"/>
      <c r="S246" s="148"/>
      <c r="T246" s="149">
        <v>2.4500000000000002</v>
      </c>
      <c r="U246" s="148">
        <f>ROUND(E246*T246,2)</f>
        <v>2.4500000000000002</v>
      </c>
      <c r="V246" s="140"/>
      <c r="W246" s="140"/>
      <c r="X246" s="140"/>
      <c r="Y246" s="140"/>
      <c r="Z246" s="140"/>
      <c r="AA246" s="140"/>
      <c r="AB246" s="140"/>
      <c r="AC246" s="140"/>
      <c r="AD246" s="140"/>
      <c r="AE246" s="140" t="s">
        <v>128</v>
      </c>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1" x14ac:dyDescent="0.25">
      <c r="A247" s="141"/>
      <c r="B247" s="141"/>
      <c r="C247" s="179" t="s">
        <v>199</v>
      </c>
      <c r="D247" s="150"/>
      <c r="E247" s="155">
        <v>1</v>
      </c>
      <c r="F247" s="158"/>
      <c r="G247" s="158"/>
      <c r="H247" s="158"/>
      <c r="I247" s="158"/>
      <c r="J247" s="158"/>
      <c r="K247" s="158"/>
      <c r="L247" s="158"/>
      <c r="M247" s="158"/>
      <c r="N247" s="148"/>
      <c r="O247" s="148"/>
      <c r="P247" s="148"/>
      <c r="Q247" s="148"/>
      <c r="R247" s="148"/>
      <c r="S247" s="148"/>
      <c r="T247" s="149"/>
      <c r="U247" s="148"/>
      <c r="V247" s="140"/>
      <c r="W247" s="140"/>
      <c r="X247" s="140"/>
      <c r="Y247" s="140"/>
      <c r="Z247" s="140"/>
      <c r="AA247" s="140"/>
      <c r="AB247" s="140"/>
      <c r="AC247" s="140"/>
      <c r="AD247" s="140"/>
      <c r="AE247" s="140" t="s">
        <v>130</v>
      </c>
      <c r="AF247" s="140">
        <v>0</v>
      </c>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1" x14ac:dyDescent="0.25">
      <c r="A248" s="141">
        <v>88</v>
      </c>
      <c r="B248" s="141" t="s">
        <v>400</v>
      </c>
      <c r="C248" s="178" t="s">
        <v>401</v>
      </c>
      <c r="D248" s="147" t="s">
        <v>136</v>
      </c>
      <c r="E248" s="154">
        <v>9</v>
      </c>
      <c r="F248" s="157"/>
      <c r="G248" s="158">
        <f>ROUND(E248*F248,2)</f>
        <v>0</v>
      </c>
      <c r="H248" s="158"/>
      <c r="I248" s="158">
        <f>ROUND(E248*H248,2)</f>
        <v>0</v>
      </c>
      <c r="J248" s="158"/>
      <c r="K248" s="158">
        <f>ROUND(E248*J248,2)</f>
        <v>0</v>
      </c>
      <c r="L248" s="158">
        <v>21</v>
      </c>
      <c r="M248" s="158">
        <f>G248*(1+L248/100)</f>
        <v>0</v>
      </c>
      <c r="N248" s="148">
        <v>0</v>
      </c>
      <c r="O248" s="148">
        <f>ROUND(E248*N248,5)</f>
        <v>0</v>
      </c>
      <c r="P248" s="148">
        <v>0</v>
      </c>
      <c r="Q248" s="148">
        <f>ROUND(E248*P248,5)</f>
        <v>0</v>
      </c>
      <c r="R248" s="148"/>
      <c r="S248" s="148"/>
      <c r="T248" s="149">
        <v>0.78</v>
      </c>
      <c r="U248" s="148">
        <f>ROUND(E248*T248,2)</f>
        <v>7.02</v>
      </c>
      <c r="V248" s="140"/>
      <c r="W248" s="140"/>
      <c r="X248" s="140"/>
      <c r="Y248" s="140"/>
      <c r="Z248" s="140"/>
      <c r="AA248" s="140"/>
      <c r="AB248" s="140"/>
      <c r="AC248" s="140"/>
      <c r="AD248" s="140"/>
      <c r="AE248" s="140" t="s">
        <v>128</v>
      </c>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x14ac:dyDescent="0.25">
      <c r="A249" s="141"/>
      <c r="B249" s="141"/>
      <c r="C249" s="179" t="s">
        <v>186</v>
      </c>
      <c r="D249" s="150"/>
      <c r="E249" s="155">
        <v>1</v>
      </c>
      <c r="F249" s="158"/>
      <c r="G249" s="158"/>
      <c r="H249" s="158"/>
      <c r="I249" s="158"/>
      <c r="J249" s="158"/>
      <c r="K249" s="158"/>
      <c r="L249" s="158"/>
      <c r="M249" s="158"/>
      <c r="N249" s="148"/>
      <c r="O249" s="148"/>
      <c r="P249" s="148"/>
      <c r="Q249" s="148"/>
      <c r="R249" s="148"/>
      <c r="S249" s="148"/>
      <c r="T249" s="149"/>
      <c r="U249" s="148"/>
      <c r="V249" s="140"/>
      <c r="W249" s="140"/>
      <c r="X249" s="140"/>
      <c r="Y249" s="140"/>
      <c r="Z249" s="140"/>
      <c r="AA249" s="140"/>
      <c r="AB249" s="140"/>
      <c r="AC249" s="140"/>
      <c r="AD249" s="140"/>
      <c r="AE249" s="140" t="s">
        <v>130</v>
      </c>
      <c r="AF249" s="140">
        <v>0</v>
      </c>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x14ac:dyDescent="0.25">
      <c r="A250" s="141"/>
      <c r="B250" s="141"/>
      <c r="C250" s="179" t="s">
        <v>194</v>
      </c>
      <c r="D250" s="150"/>
      <c r="E250" s="155">
        <v>1</v>
      </c>
      <c r="F250" s="158"/>
      <c r="G250" s="158"/>
      <c r="H250" s="158"/>
      <c r="I250" s="158"/>
      <c r="J250" s="158"/>
      <c r="K250" s="158"/>
      <c r="L250" s="158"/>
      <c r="M250" s="158"/>
      <c r="N250" s="148"/>
      <c r="O250" s="148"/>
      <c r="P250" s="148"/>
      <c r="Q250" s="148"/>
      <c r="R250" s="148"/>
      <c r="S250" s="148"/>
      <c r="T250" s="149"/>
      <c r="U250" s="148"/>
      <c r="V250" s="140"/>
      <c r="W250" s="140"/>
      <c r="X250" s="140"/>
      <c r="Y250" s="140"/>
      <c r="Z250" s="140"/>
      <c r="AA250" s="140"/>
      <c r="AB250" s="140"/>
      <c r="AC250" s="140"/>
      <c r="AD250" s="140"/>
      <c r="AE250" s="140" t="s">
        <v>130</v>
      </c>
      <c r="AF250" s="140">
        <v>0</v>
      </c>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1" x14ac:dyDescent="0.25">
      <c r="A251" s="141"/>
      <c r="B251" s="141"/>
      <c r="C251" s="179" t="s">
        <v>187</v>
      </c>
      <c r="D251" s="150"/>
      <c r="E251" s="155">
        <v>1</v>
      </c>
      <c r="F251" s="158"/>
      <c r="G251" s="158"/>
      <c r="H251" s="158"/>
      <c r="I251" s="158"/>
      <c r="J251" s="158"/>
      <c r="K251" s="158"/>
      <c r="L251" s="158"/>
      <c r="M251" s="158"/>
      <c r="N251" s="148"/>
      <c r="O251" s="148"/>
      <c r="P251" s="148"/>
      <c r="Q251" s="148"/>
      <c r="R251" s="148"/>
      <c r="S251" s="148"/>
      <c r="T251" s="149"/>
      <c r="U251" s="148"/>
      <c r="V251" s="140"/>
      <c r="W251" s="140"/>
      <c r="X251" s="140"/>
      <c r="Y251" s="140"/>
      <c r="Z251" s="140"/>
      <c r="AA251" s="140"/>
      <c r="AB251" s="140"/>
      <c r="AC251" s="140"/>
      <c r="AD251" s="140"/>
      <c r="AE251" s="140" t="s">
        <v>130</v>
      </c>
      <c r="AF251" s="140">
        <v>0</v>
      </c>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1" x14ac:dyDescent="0.25">
      <c r="A252" s="141"/>
      <c r="B252" s="141"/>
      <c r="C252" s="179" t="s">
        <v>188</v>
      </c>
      <c r="D252" s="150"/>
      <c r="E252" s="155">
        <v>1</v>
      </c>
      <c r="F252" s="158"/>
      <c r="G252" s="158"/>
      <c r="H252" s="158"/>
      <c r="I252" s="158"/>
      <c r="J252" s="158"/>
      <c r="K252" s="158"/>
      <c r="L252" s="158"/>
      <c r="M252" s="158"/>
      <c r="N252" s="148"/>
      <c r="O252" s="148"/>
      <c r="P252" s="148"/>
      <c r="Q252" s="148"/>
      <c r="R252" s="148"/>
      <c r="S252" s="148"/>
      <c r="T252" s="149"/>
      <c r="U252" s="148"/>
      <c r="V252" s="140"/>
      <c r="W252" s="140"/>
      <c r="X252" s="140"/>
      <c r="Y252" s="140"/>
      <c r="Z252" s="140"/>
      <c r="AA252" s="140"/>
      <c r="AB252" s="140"/>
      <c r="AC252" s="140"/>
      <c r="AD252" s="140"/>
      <c r="AE252" s="140" t="s">
        <v>130</v>
      </c>
      <c r="AF252" s="140">
        <v>0</v>
      </c>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1" x14ac:dyDescent="0.25">
      <c r="A253" s="141"/>
      <c r="B253" s="141"/>
      <c r="C253" s="179" t="s">
        <v>189</v>
      </c>
      <c r="D253" s="150"/>
      <c r="E253" s="155">
        <v>1</v>
      </c>
      <c r="F253" s="158"/>
      <c r="G253" s="158"/>
      <c r="H253" s="158"/>
      <c r="I253" s="158"/>
      <c r="J253" s="158"/>
      <c r="K253" s="158"/>
      <c r="L253" s="158"/>
      <c r="M253" s="158"/>
      <c r="N253" s="148"/>
      <c r="O253" s="148"/>
      <c r="P253" s="148"/>
      <c r="Q253" s="148"/>
      <c r="R253" s="148"/>
      <c r="S253" s="148"/>
      <c r="T253" s="149"/>
      <c r="U253" s="148"/>
      <c r="V253" s="140"/>
      <c r="W253" s="140"/>
      <c r="X253" s="140"/>
      <c r="Y253" s="140"/>
      <c r="Z253" s="140"/>
      <c r="AA253" s="140"/>
      <c r="AB253" s="140"/>
      <c r="AC253" s="140"/>
      <c r="AD253" s="140"/>
      <c r="AE253" s="140" t="s">
        <v>130</v>
      </c>
      <c r="AF253" s="140">
        <v>0</v>
      </c>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1" x14ac:dyDescent="0.25">
      <c r="A254" s="141"/>
      <c r="B254" s="141"/>
      <c r="C254" s="179" t="s">
        <v>190</v>
      </c>
      <c r="D254" s="150"/>
      <c r="E254" s="155">
        <v>1</v>
      </c>
      <c r="F254" s="158"/>
      <c r="G254" s="158"/>
      <c r="H254" s="158"/>
      <c r="I254" s="158"/>
      <c r="J254" s="158"/>
      <c r="K254" s="158"/>
      <c r="L254" s="158"/>
      <c r="M254" s="158"/>
      <c r="N254" s="148"/>
      <c r="O254" s="148"/>
      <c r="P254" s="148"/>
      <c r="Q254" s="148"/>
      <c r="R254" s="148"/>
      <c r="S254" s="148"/>
      <c r="T254" s="149"/>
      <c r="U254" s="148"/>
      <c r="V254" s="140"/>
      <c r="W254" s="140"/>
      <c r="X254" s="140"/>
      <c r="Y254" s="140"/>
      <c r="Z254" s="140"/>
      <c r="AA254" s="140"/>
      <c r="AB254" s="140"/>
      <c r="AC254" s="140"/>
      <c r="AD254" s="140"/>
      <c r="AE254" s="140" t="s">
        <v>130</v>
      </c>
      <c r="AF254" s="140">
        <v>0</v>
      </c>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1" x14ac:dyDescent="0.25">
      <c r="A255" s="141"/>
      <c r="B255" s="141"/>
      <c r="C255" s="179" t="s">
        <v>191</v>
      </c>
      <c r="D255" s="150"/>
      <c r="E255" s="155">
        <v>2</v>
      </c>
      <c r="F255" s="158"/>
      <c r="G255" s="158"/>
      <c r="H255" s="158"/>
      <c r="I255" s="158"/>
      <c r="J255" s="158"/>
      <c r="K255" s="158"/>
      <c r="L255" s="158"/>
      <c r="M255" s="158"/>
      <c r="N255" s="148"/>
      <c r="O255" s="148"/>
      <c r="P255" s="148"/>
      <c r="Q255" s="148"/>
      <c r="R255" s="148"/>
      <c r="S255" s="148"/>
      <c r="T255" s="149"/>
      <c r="U255" s="148"/>
      <c r="V255" s="140"/>
      <c r="W255" s="140"/>
      <c r="X255" s="140"/>
      <c r="Y255" s="140"/>
      <c r="Z255" s="140"/>
      <c r="AA255" s="140"/>
      <c r="AB255" s="140"/>
      <c r="AC255" s="140"/>
      <c r="AD255" s="140"/>
      <c r="AE255" s="140" t="s">
        <v>130</v>
      </c>
      <c r="AF255" s="140">
        <v>0</v>
      </c>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1" x14ac:dyDescent="0.25">
      <c r="A256" s="141"/>
      <c r="B256" s="141"/>
      <c r="C256" s="179" t="s">
        <v>199</v>
      </c>
      <c r="D256" s="150"/>
      <c r="E256" s="155">
        <v>1</v>
      </c>
      <c r="F256" s="158"/>
      <c r="G256" s="158"/>
      <c r="H256" s="158"/>
      <c r="I256" s="158"/>
      <c r="J256" s="158"/>
      <c r="K256" s="158"/>
      <c r="L256" s="158"/>
      <c r="M256" s="158"/>
      <c r="N256" s="148"/>
      <c r="O256" s="148"/>
      <c r="P256" s="148"/>
      <c r="Q256" s="148"/>
      <c r="R256" s="148"/>
      <c r="S256" s="148"/>
      <c r="T256" s="149"/>
      <c r="U256" s="148"/>
      <c r="V256" s="140"/>
      <c r="W256" s="140"/>
      <c r="X256" s="140"/>
      <c r="Y256" s="140"/>
      <c r="Z256" s="140"/>
      <c r="AA256" s="140"/>
      <c r="AB256" s="140"/>
      <c r="AC256" s="140"/>
      <c r="AD256" s="140"/>
      <c r="AE256" s="140" t="s">
        <v>130</v>
      </c>
      <c r="AF256" s="140">
        <v>0</v>
      </c>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1" x14ac:dyDescent="0.25">
      <c r="A257" s="141">
        <v>89</v>
      </c>
      <c r="B257" s="141" t="s">
        <v>402</v>
      </c>
      <c r="C257" s="178" t="s">
        <v>403</v>
      </c>
      <c r="D257" s="147" t="s">
        <v>136</v>
      </c>
      <c r="E257" s="154">
        <v>1</v>
      </c>
      <c r="F257" s="157"/>
      <c r="G257" s="158">
        <f>ROUND(E257*F257,2)</f>
        <v>0</v>
      </c>
      <c r="H257" s="158"/>
      <c r="I257" s="158">
        <f>ROUND(E257*H257,2)</f>
        <v>0</v>
      </c>
      <c r="J257" s="158"/>
      <c r="K257" s="158">
        <f>ROUND(E257*J257,2)</f>
        <v>0</v>
      </c>
      <c r="L257" s="158">
        <v>21</v>
      </c>
      <c r="M257" s="158">
        <f>G257*(1+L257/100)</f>
        <v>0</v>
      </c>
      <c r="N257" s="148">
        <v>0.05</v>
      </c>
      <c r="O257" s="148">
        <f>ROUND(E257*N257,5)</f>
        <v>0.05</v>
      </c>
      <c r="P257" s="148">
        <v>0</v>
      </c>
      <c r="Q257" s="148">
        <f>ROUND(E257*P257,5)</f>
        <v>0</v>
      </c>
      <c r="R257" s="148"/>
      <c r="S257" s="148"/>
      <c r="T257" s="149">
        <v>0</v>
      </c>
      <c r="U257" s="148">
        <f>ROUND(E257*T257,2)</f>
        <v>0</v>
      </c>
      <c r="V257" s="140"/>
      <c r="W257" s="140"/>
      <c r="X257" s="140"/>
      <c r="Y257" s="140"/>
      <c r="Z257" s="140"/>
      <c r="AA257" s="140"/>
      <c r="AB257" s="140"/>
      <c r="AC257" s="140"/>
      <c r="AD257" s="140"/>
      <c r="AE257" s="140" t="s">
        <v>128</v>
      </c>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1" x14ac:dyDescent="0.25">
      <c r="A258" s="141"/>
      <c r="B258" s="141"/>
      <c r="C258" s="179" t="s">
        <v>52</v>
      </c>
      <c r="D258" s="150"/>
      <c r="E258" s="155">
        <v>1</v>
      </c>
      <c r="F258" s="158"/>
      <c r="G258" s="158"/>
      <c r="H258" s="158"/>
      <c r="I258" s="158"/>
      <c r="J258" s="158"/>
      <c r="K258" s="158"/>
      <c r="L258" s="158"/>
      <c r="M258" s="158"/>
      <c r="N258" s="148"/>
      <c r="O258" s="148"/>
      <c r="P258" s="148"/>
      <c r="Q258" s="148"/>
      <c r="R258" s="148"/>
      <c r="S258" s="148"/>
      <c r="T258" s="149"/>
      <c r="U258" s="148"/>
      <c r="V258" s="140"/>
      <c r="W258" s="140"/>
      <c r="X258" s="140"/>
      <c r="Y258" s="140"/>
      <c r="Z258" s="140"/>
      <c r="AA258" s="140"/>
      <c r="AB258" s="140"/>
      <c r="AC258" s="140"/>
      <c r="AD258" s="140"/>
      <c r="AE258" s="140" t="s">
        <v>130</v>
      </c>
      <c r="AF258" s="140">
        <v>0</v>
      </c>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1" x14ac:dyDescent="0.25">
      <c r="A259" s="141">
        <v>90</v>
      </c>
      <c r="B259" s="141" t="s">
        <v>404</v>
      </c>
      <c r="C259" s="178" t="s">
        <v>405</v>
      </c>
      <c r="D259" s="147" t="s">
        <v>136</v>
      </c>
      <c r="E259" s="154">
        <v>1</v>
      </c>
      <c r="F259" s="157"/>
      <c r="G259" s="158">
        <f>ROUND(E259*F259,2)</f>
        <v>0</v>
      </c>
      <c r="H259" s="158"/>
      <c r="I259" s="158">
        <f>ROUND(E259*H259,2)</f>
        <v>0</v>
      </c>
      <c r="J259" s="158"/>
      <c r="K259" s="158">
        <f>ROUND(E259*J259,2)</f>
        <v>0</v>
      </c>
      <c r="L259" s="158">
        <v>21</v>
      </c>
      <c r="M259" s="158">
        <f>G259*(1+L259/100)</f>
        <v>0</v>
      </c>
      <c r="N259" s="148">
        <v>0.05</v>
      </c>
      <c r="O259" s="148">
        <f>ROUND(E259*N259,5)</f>
        <v>0.05</v>
      </c>
      <c r="P259" s="148">
        <v>0</v>
      </c>
      <c r="Q259" s="148">
        <f>ROUND(E259*P259,5)</f>
        <v>0</v>
      </c>
      <c r="R259" s="148"/>
      <c r="S259" s="148"/>
      <c r="T259" s="149">
        <v>0</v>
      </c>
      <c r="U259" s="148">
        <f>ROUND(E259*T259,2)</f>
        <v>0</v>
      </c>
      <c r="V259" s="140"/>
      <c r="W259" s="140"/>
      <c r="X259" s="140"/>
      <c r="Y259" s="140"/>
      <c r="Z259" s="140"/>
      <c r="AA259" s="140"/>
      <c r="AB259" s="140"/>
      <c r="AC259" s="140"/>
      <c r="AD259" s="140"/>
      <c r="AE259" s="140" t="s">
        <v>128</v>
      </c>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1" x14ac:dyDescent="0.25">
      <c r="A260" s="141"/>
      <c r="B260" s="141"/>
      <c r="C260" s="179" t="s">
        <v>52</v>
      </c>
      <c r="D260" s="150"/>
      <c r="E260" s="155">
        <v>1</v>
      </c>
      <c r="F260" s="158"/>
      <c r="G260" s="158"/>
      <c r="H260" s="158"/>
      <c r="I260" s="158"/>
      <c r="J260" s="158"/>
      <c r="K260" s="158"/>
      <c r="L260" s="158"/>
      <c r="M260" s="158"/>
      <c r="N260" s="148"/>
      <c r="O260" s="148"/>
      <c r="P260" s="148"/>
      <c r="Q260" s="148"/>
      <c r="R260" s="148"/>
      <c r="S260" s="148"/>
      <c r="T260" s="149"/>
      <c r="U260" s="148"/>
      <c r="V260" s="140"/>
      <c r="W260" s="140"/>
      <c r="X260" s="140"/>
      <c r="Y260" s="140"/>
      <c r="Z260" s="140"/>
      <c r="AA260" s="140"/>
      <c r="AB260" s="140"/>
      <c r="AC260" s="140"/>
      <c r="AD260" s="140"/>
      <c r="AE260" s="140" t="s">
        <v>130</v>
      </c>
      <c r="AF260" s="140">
        <v>0</v>
      </c>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1" x14ac:dyDescent="0.25">
      <c r="A261" s="141">
        <v>91</v>
      </c>
      <c r="B261" s="141" t="s">
        <v>406</v>
      </c>
      <c r="C261" s="178" t="s">
        <v>405</v>
      </c>
      <c r="D261" s="147" t="s">
        <v>136</v>
      </c>
      <c r="E261" s="154">
        <v>1</v>
      </c>
      <c r="F261" s="157"/>
      <c r="G261" s="158">
        <f>ROUND(E261*F261,2)</f>
        <v>0</v>
      </c>
      <c r="H261" s="158"/>
      <c r="I261" s="158">
        <f>ROUND(E261*H261,2)</f>
        <v>0</v>
      </c>
      <c r="J261" s="158"/>
      <c r="K261" s="158">
        <f>ROUND(E261*J261,2)</f>
        <v>0</v>
      </c>
      <c r="L261" s="158">
        <v>21</v>
      </c>
      <c r="M261" s="158">
        <f>G261*(1+L261/100)</f>
        <v>0</v>
      </c>
      <c r="N261" s="148">
        <v>0.05</v>
      </c>
      <c r="O261" s="148">
        <f>ROUND(E261*N261,5)</f>
        <v>0.05</v>
      </c>
      <c r="P261" s="148">
        <v>0</v>
      </c>
      <c r="Q261" s="148">
        <f>ROUND(E261*P261,5)</f>
        <v>0</v>
      </c>
      <c r="R261" s="148"/>
      <c r="S261" s="148"/>
      <c r="T261" s="149">
        <v>0</v>
      </c>
      <c r="U261" s="148">
        <f>ROUND(E261*T261,2)</f>
        <v>0</v>
      </c>
      <c r="V261" s="140"/>
      <c r="W261" s="140"/>
      <c r="X261" s="140"/>
      <c r="Y261" s="140"/>
      <c r="Z261" s="140"/>
      <c r="AA261" s="140"/>
      <c r="AB261" s="140"/>
      <c r="AC261" s="140"/>
      <c r="AD261" s="140"/>
      <c r="AE261" s="140" t="s">
        <v>128</v>
      </c>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x14ac:dyDescent="0.25">
      <c r="A262" s="141"/>
      <c r="B262" s="141"/>
      <c r="C262" s="179" t="s">
        <v>52</v>
      </c>
      <c r="D262" s="150"/>
      <c r="E262" s="155">
        <v>1</v>
      </c>
      <c r="F262" s="158"/>
      <c r="G262" s="158"/>
      <c r="H262" s="158"/>
      <c r="I262" s="158"/>
      <c r="J262" s="158"/>
      <c r="K262" s="158"/>
      <c r="L262" s="158"/>
      <c r="M262" s="158"/>
      <c r="N262" s="148"/>
      <c r="O262" s="148"/>
      <c r="P262" s="148"/>
      <c r="Q262" s="148"/>
      <c r="R262" s="148"/>
      <c r="S262" s="148"/>
      <c r="T262" s="149"/>
      <c r="U262" s="148"/>
      <c r="V262" s="140"/>
      <c r="W262" s="140"/>
      <c r="X262" s="140"/>
      <c r="Y262" s="140"/>
      <c r="Z262" s="140"/>
      <c r="AA262" s="140"/>
      <c r="AB262" s="140"/>
      <c r="AC262" s="140"/>
      <c r="AD262" s="140"/>
      <c r="AE262" s="140" t="s">
        <v>130</v>
      </c>
      <c r="AF262" s="140">
        <v>0</v>
      </c>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1" x14ac:dyDescent="0.25">
      <c r="A263" s="141">
        <v>92</v>
      </c>
      <c r="B263" s="141" t="s">
        <v>407</v>
      </c>
      <c r="C263" s="178" t="s">
        <v>405</v>
      </c>
      <c r="D263" s="147" t="s">
        <v>136</v>
      </c>
      <c r="E263" s="154">
        <v>1</v>
      </c>
      <c r="F263" s="157"/>
      <c r="G263" s="158">
        <f>ROUND(E263*F263,2)</f>
        <v>0</v>
      </c>
      <c r="H263" s="158"/>
      <c r="I263" s="158">
        <f>ROUND(E263*H263,2)</f>
        <v>0</v>
      </c>
      <c r="J263" s="158"/>
      <c r="K263" s="158">
        <f>ROUND(E263*J263,2)</f>
        <v>0</v>
      </c>
      <c r="L263" s="158">
        <v>21</v>
      </c>
      <c r="M263" s="158">
        <f>G263*(1+L263/100)</f>
        <v>0</v>
      </c>
      <c r="N263" s="148">
        <v>0.05</v>
      </c>
      <c r="O263" s="148">
        <f>ROUND(E263*N263,5)</f>
        <v>0.05</v>
      </c>
      <c r="P263" s="148">
        <v>0</v>
      </c>
      <c r="Q263" s="148">
        <f>ROUND(E263*P263,5)</f>
        <v>0</v>
      </c>
      <c r="R263" s="148"/>
      <c r="S263" s="148"/>
      <c r="T263" s="149">
        <v>0</v>
      </c>
      <c r="U263" s="148">
        <f>ROUND(E263*T263,2)</f>
        <v>0</v>
      </c>
      <c r="V263" s="140"/>
      <c r="W263" s="140"/>
      <c r="X263" s="140"/>
      <c r="Y263" s="140"/>
      <c r="Z263" s="140"/>
      <c r="AA263" s="140"/>
      <c r="AB263" s="140"/>
      <c r="AC263" s="140"/>
      <c r="AD263" s="140"/>
      <c r="AE263" s="140" t="s">
        <v>128</v>
      </c>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1" x14ac:dyDescent="0.25">
      <c r="A264" s="141"/>
      <c r="B264" s="141"/>
      <c r="C264" s="179" t="s">
        <v>52</v>
      </c>
      <c r="D264" s="150"/>
      <c r="E264" s="155">
        <v>1</v>
      </c>
      <c r="F264" s="158"/>
      <c r="G264" s="158"/>
      <c r="H264" s="158"/>
      <c r="I264" s="158"/>
      <c r="J264" s="158"/>
      <c r="K264" s="158"/>
      <c r="L264" s="158"/>
      <c r="M264" s="158"/>
      <c r="N264" s="148"/>
      <c r="O264" s="148"/>
      <c r="P264" s="148"/>
      <c r="Q264" s="148"/>
      <c r="R264" s="148"/>
      <c r="S264" s="148"/>
      <c r="T264" s="149"/>
      <c r="U264" s="148"/>
      <c r="V264" s="140"/>
      <c r="W264" s="140"/>
      <c r="X264" s="140"/>
      <c r="Y264" s="140"/>
      <c r="Z264" s="140"/>
      <c r="AA264" s="140"/>
      <c r="AB264" s="140"/>
      <c r="AC264" s="140"/>
      <c r="AD264" s="140"/>
      <c r="AE264" s="140" t="s">
        <v>130</v>
      </c>
      <c r="AF264" s="140">
        <v>0</v>
      </c>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1" x14ac:dyDescent="0.25">
      <c r="A265" s="141">
        <v>93</v>
      </c>
      <c r="B265" s="141" t="s">
        <v>408</v>
      </c>
      <c r="C265" s="178" t="s">
        <v>405</v>
      </c>
      <c r="D265" s="147" t="s">
        <v>136</v>
      </c>
      <c r="E265" s="154">
        <v>1</v>
      </c>
      <c r="F265" s="157"/>
      <c r="G265" s="158">
        <f>ROUND(E265*F265,2)</f>
        <v>0</v>
      </c>
      <c r="H265" s="158"/>
      <c r="I265" s="158">
        <f>ROUND(E265*H265,2)</f>
        <v>0</v>
      </c>
      <c r="J265" s="158"/>
      <c r="K265" s="158">
        <f>ROUND(E265*J265,2)</f>
        <v>0</v>
      </c>
      <c r="L265" s="158">
        <v>21</v>
      </c>
      <c r="M265" s="158">
        <f>G265*(1+L265/100)</f>
        <v>0</v>
      </c>
      <c r="N265" s="148">
        <v>0.05</v>
      </c>
      <c r="O265" s="148">
        <f>ROUND(E265*N265,5)</f>
        <v>0.05</v>
      </c>
      <c r="P265" s="148">
        <v>0</v>
      </c>
      <c r="Q265" s="148">
        <f>ROUND(E265*P265,5)</f>
        <v>0</v>
      </c>
      <c r="R265" s="148"/>
      <c r="S265" s="148"/>
      <c r="T265" s="149">
        <v>0</v>
      </c>
      <c r="U265" s="148">
        <f>ROUND(E265*T265,2)</f>
        <v>0</v>
      </c>
      <c r="V265" s="140"/>
      <c r="W265" s="140"/>
      <c r="X265" s="140"/>
      <c r="Y265" s="140"/>
      <c r="Z265" s="140"/>
      <c r="AA265" s="140"/>
      <c r="AB265" s="140"/>
      <c r="AC265" s="140"/>
      <c r="AD265" s="140"/>
      <c r="AE265" s="140" t="s">
        <v>128</v>
      </c>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1" x14ac:dyDescent="0.25">
      <c r="A266" s="141">
        <v>94</v>
      </c>
      <c r="B266" s="141" t="s">
        <v>409</v>
      </c>
      <c r="C266" s="178" t="s">
        <v>410</v>
      </c>
      <c r="D266" s="147" t="s">
        <v>136</v>
      </c>
      <c r="E266" s="154">
        <v>1</v>
      </c>
      <c r="F266" s="157"/>
      <c r="G266" s="158">
        <f>ROUND(E266*F266,2)</f>
        <v>0</v>
      </c>
      <c r="H266" s="158"/>
      <c r="I266" s="158">
        <f>ROUND(E266*H266,2)</f>
        <v>0</v>
      </c>
      <c r="J266" s="158"/>
      <c r="K266" s="158">
        <f>ROUND(E266*J266,2)</f>
        <v>0</v>
      </c>
      <c r="L266" s="158">
        <v>21</v>
      </c>
      <c r="M266" s="158">
        <f>G266*(1+L266/100)</f>
        <v>0</v>
      </c>
      <c r="N266" s="148">
        <v>0.05</v>
      </c>
      <c r="O266" s="148">
        <f>ROUND(E266*N266,5)</f>
        <v>0.05</v>
      </c>
      <c r="P266" s="148">
        <v>0</v>
      </c>
      <c r="Q266" s="148">
        <f>ROUND(E266*P266,5)</f>
        <v>0</v>
      </c>
      <c r="R266" s="148"/>
      <c r="S266" s="148"/>
      <c r="T266" s="149">
        <v>0</v>
      </c>
      <c r="U266" s="148">
        <f>ROUND(E266*T266,2)</f>
        <v>0</v>
      </c>
      <c r="V266" s="140"/>
      <c r="W266" s="140"/>
      <c r="X266" s="140"/>
      <c r="Y266" s="140"/>
      <c r="Z266" s="140"/>
      <c r="AA266" s="140"/>
      <c r="AB266" s="140"/>
      <c r="AC266" s="140"/>
      <c r="AD266" s="140"/>
      <c r="AE266" s="140" t="s">
        <v>128</v>
      </c>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1" x14ac:dyDescent="0.25">
      <c r="A267" s="141"/>
      <c r="B267" s="141"/>
      <c r="C267" s="179" t="s">
        <v>52</v>
      </c>
      <c r="D267" s="150"/>
      <c r="E267" s="155">
        <v>1</v>
      </c>
      <c r="F267" s="158"/>
      <c r="G267" s="158"/>
      <c r="H267" s="158"/>
      <c r="I267" s="158"/>
      <c r="J267" s="158"/>
      <c r="K267" s="158"/>
      <c r="L267" s="158"/>
      <c r="M267" s="158"/>
      <c r="N267" s="148"/>
      <c r="O267" s="148"/>
      <c r="P267" s="148"/>
      <c r="Q267" s="148"/>
      <c r="R267" s="148"/>
      <c r="S267" s="148"/>
      <c r="T267" s="149"/>
      <c r="U267" s="148"/>
      <c r="V267" s="140"/>
      <c r="W267" s="140"/>
      <c r="X267" s="140"/>
      <c r="Y267" s="140"/>
      <c r="Z267" s="140"/>
      <c r="AA267" s="140"/>
      <c r="AB267" s="140"/>
      <c r="AC267" s="140"/>
      <c r="AD267" s="140"/>
      <c r="AE267" s="140" t="s">
        <v>130</v>
      </c>
      <c r="AF267" s="140">
        <v>0</v>
      </c>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x14ac:dyDescent="0.25">
      <c r="A268" s="141">
        <v>95</v>
      </c>
      <c r="B268" s="141" t="s">
        <v>411</v>
      </c>
      <c r="C268" s="178" t="s">
        <v>410</v>
      </c>
      <c r="D268" s="147" t="s">
        <v>136</v>
      </c>
      <c r="E268" s="154">
        <v>2</v>
      </c>
      <c r="F268" s="157"/>
      <c r="G268" s="158">
        <f>ROUND(E268*F268,2)</f>
        <v>0</v>
      </c>
      <c r="H268" s="158"/>
      <c r="I268" s="158">
        <f>ROUND(E268*H268,2)</f>
        <v>0</v>
      </c>
      <c r="J268" s="158"/>
      <c r="K268" s="158">
        <f>ROUND(E268*J268,2)</f>
        <v>0</v>
      </c>
      <c r="L268" s="158">
        <v>21</v>
      </c>
      <c r="M268" s="158">
        <f>G268*(1+L268/100)</f>
        <v>0</v>
      </c>
      <c r="N268" s="148">
        <v>0.05</v>
      </c>
      <c r="O268" s="148">
        <f>ROUND(E268*N268,5)</f>
        <v>0.1</v>
      </c>
      <c r="P268" s="148">
        <v>0</v>
      </c>
      <c r="Q268" s="148">
        <f>ROUND(E268*P268,5)</f>
        <v>0</v>
      </c>
      <c r="R268" s="148"/>
      <c r="S268" s="148"/>
      <c r="T268" s="149">
        <v>0</v>
      </c>
      <c r="U268" s="148">
        <f>ROUND(E268*T268,2)</f>
        <v>0</v>
      </c>
      <c r="V268" s="140"/>
      <c r="W268" s="140"/>
      <c r="X268" s="140"/>
      <c r="Y268" s="140"/>
      <c r="Z268" s="140"/>
      <c r="AA268" s="140"/>
      <c r="AB268" s="140"/>
      <c r="AC268" s="140"/>
      <c r="AD268" s="140"/>
      <c r="AE268" s="140" t="s">
        <v>128</v>
      </c>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1" x14ac:dyDescent="0.25">
      <c r="A269" s="141"/>
      <c r="B269" s="141"/>
      <c r="C269" s="179" t="s">
        <v>177</v>
      </c>
      <c r="D269" s="150"/>
      <c r="E269" s="155">
        <v>2</v>
      </c>
      <c r="F269" s="158"/>
      <c r="G269" s="158"/>
      <c r="H269" s="158"/>
      <c r="I269" s="158"/>
      <c r="J269" s="158"/>
      <c r="K269" s="158"/>
      <c r="L269" s="158"/>
      <c r="M269" s="158"/>
      <c r="N269" s="148"/>
      <c r="O269" s="148"/>
      <c r="P269" s="148"/>
      <c r="Q269" s="148"/>
      <c r="R269" s="148"/>
      <c r="S269" s="148"/>
      <c r="T269" s="149"/>
      <c r="U269" s="148"/>
      <c r="V269" s="140"/>
      <c r="W269" s="140"/>
      <c r="X269" s="140"/>
      <c r="Y269" s="140"/>
      <c r="Z269" s="140"/>
      <c r="AA269" s="140"/>
      <c r="AB269" s="140"/>
      <c r="AC269" s="140"/>
      <c r="AD269" s="140"/>
      <c r="AE269" s="140" t="s">
        <v>130</v>
      </c>
      <c r="AF269" s="140">
        <v>0</v>
      </c>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t="20" outlineLevel="1" x14ac:dyDescent="0.25">
      <c r="A270" s="141">
        <v>96</v>
      </c>
      <c r="B270" s="141" t="s">
        <v>412</v>
      </c>
      <c r="C270" s="178" t="s">
        <v>413</v>
      </c>
      <c r="D270" s="147" t="s">
        <v>136</v>
      </c>
      <c r="E270" s="154">
        <v>1</v>
      </c>
      <c r="F270" s="157"/>
      <c r="G270" s="158">
        <f>ROUND(E270*F270,2)</f>
        <v>0</v>
      </c>
      <c r="H270" s="158"/>
      <c r="I270" s="158">
        <f>ROUND(E270*H270,2)</f>
        <v>0</v>
      </c>
      <c r="J270" s="158"/>
      <c r="K270" s="158">
        <f>ROUND(E270*J270,2)</f>
        <v>0</v>
      </c>
      <c r="L270" s="158">
        <v>21</v>
      </c>
      <c r="M270" s="158">
        <f>G270*(1+L270/100)</f>
        <v>0</v>
      </c>
      <c r="N270" s="148">
        <v>0.05</v>
      </c>
      <c r="O270" s="148">
        <f>ROUND(E270*N270,5)</f>
        <v>0.05</v>
      </c>
      <c r="P270" s="148">
        <v>0</v>
      </c>
      <c r="Q270" s="148">
        <f>ROUND(E270*P270,5)</f>
        <v>0</v>
      </c>
      <c r="R270" s="148"/>
      <c r="S270" s="148"/>
      <c r="T270" s="149">
        <v>0</v>
      </c>
      <c r="U270" s="148">
        <f>ROUND(E270*T270,2)</f>
        <v>0</v>
      </c>
      <c r="V270" s="140"/>
      <c r="W270" s="140"/>
      <c r="X270" s="140"/>
      <c r="Y270" s="140"/>
      <c r="Z270" s="140"/>
      <c r="AA270" s="140"/>
      <c r="AB270" s="140"/>
      <c r="AC270" s="140"/>
      <c r="AD270" s="140"/>
      <c r="AE270" s="140" t="s">
        <v>128</v>
      </c>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1" x14ac:dyDescent="0.25">
      <c r="A271" s="141"/>
      <c r="B271" s="141"/>
      <c r="C271" s="179" t="s">
        <v>52</v>
      </c>
      <c r="D271" s="150"/>
      <c r="E271" s="155">
        <v>1</v>
      </c>
      <c r="F271" s="158"/>
      <c r="G271" s="158"/>
      <c r="H271" s="158"/>
      <c r="I271" s="158"/>
      <c r="J271" s="158"/>
      <c r="K271" s="158"/>
      <c r="L271" s="158"/>
      <c r="M271" s="158"/>
      <c r="N271" s="148"/>
      <c r="O271" s="148"/>
      <c r="P271" s="148"/>
      <c r="Q271" s="148"/>
      <c r="R271" s="148"/>
      <c r="S271" s="148"/>
      <c r="T271" s="149"/>
      <c r="U271" s="148"/>
      <c r="V271" s="140"/>
      <c r="W271" s="140"/>
      <c r="X271" s="140"/>
      <c r="Y271" s="140"/>
      <c r="Z271" s="140"/>
      <c r="AA271" s="140"/>
      <c r="AB271" s="140"/>
      <c r="AC271" s="140"/>
      <c r="AD271" s="140"/>
      <c r="AE271" s="140" t="s">
        <v>130</v>
      </c>
      <c r="AF271" s="140">
        <v>0</v>
      </c>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20" outlineLevel="1" x14ac:dyDescent="0.25">
      <c r="A272" s="141">
        <v>97</v>
      </c>
      <c r="B272" s="141" t="s">
        <v>414</v>
      </c>
      <c r="C272" s="178" t="s">
        <v>415</v>
      </c>
      <c r="D272" s="147" t="s">
        <v>207</v>
      </c>
      <c r="E272" s="154">
        <v>1</v>
      </c>
      <c r="F272" s="157"/>
      <c r="G272" s="158">
        <f>ROUND(E272*F272,2)</f>
        <v>0</v>
      </c>
      <c r="H272" s="158"/>
      <c r="I272" s="158">
        <f>ROUND(E272*H272,2)</f>
        <v>0</v>
      </c>
      <c r="J272" s="158"/>
      <c r="K272" s="158">
        <f>ROUND(E272*J272,2)</f>
        <v>0</v>
      </c>
      <c r="L272" s="158">
        <v>21</v>
      </c>
      <c r="M272" s="158">
        <f>G272*(1+L272/100)</f>
        <v>0</v>
      </c>
      <c r="N272" s="148">
        <v>0</v>
      </c>
      <c r="O272" s="148">
        <f>ROUND(E272*N272,5)</f>
        <v>0</v>
      </c>
      <c r="P272" s="148">
        <v>0</v>
      </c>
      <c r="Q272" s="148">
        <f>ROUND(E272*P272,5)</f>
        <v>0</v>
      </c>
      <c r="R272" s="148"/>
      <c r="S272" s="148"/>
      <c r="T272" s="149">
        <v>0</v>
      </c>
      <c r="U272" s="148">
        <f>ROUND(E272*T272,2)</f>
        <v>0</v>
      </c>
      <c r="V272" s="140"/>
      <c r="W272" s="140"/>
      <c r="X272" s="140"/>
      <c r="Y272" s="140"/>
      <c r="Z272" s="140"/>
      <c r="AA272" s="140"/>
      <c r="AB272" s="140"/>
      <c r="AC272" s="140"/>
      <c r="AD272" s="140"/>
      <c r="AE272" s="140" t="s">
        <v>128</v>
      </c>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1" x14ac:dyDescent="0.25">
      <c r="A273" s="141"/>
      <c r="B273" s="141"/>
      <c r="C273" s="179" t="s">
        <v>52</v>
      </c>
      <c r="D273" s="150"/>
      <c r="E273" s="155">
        <v>1</v>
      </c>
      <c r="F273" s="158"/>
      <c r="G273" s="158"/>
      <c r="H273" s="158"/>
      <c r="I273" s="158"/>
      <c r="J273" s="158"/>
      <c r="K273" s="158"/>
      <c r="L273" s="158"/>
      <c r="M273" s="158"/>
      <c r="N273" s="148"/>
      <c r="O273" s="148"/>
      <c r="P273" s="148"/>
      <c r="Q273" s="148"/>
      <c r="R273" s="148"/>
      <c r="S273" s="148"/>
      <c r="T273" s="149"/>
      <c r="U273" s="148"/>
      <c r="V273" s="140"/>
      <c r="W273" s="140"/>
      <c r="X273" s="140"/>
      <c r="Y273" s="140"/>
      <c r="Z273" s="140"/>
      <c r="AA273" s="140"/>
      <c r="AB273" s="140"/>
      <c r="AC273" s="140"/>
      <c r="AD273" s="140"/>
      <c r="AE273" s="140" t="s">
        <v>130</v>
      </c>
      <c r="AF273" s="140">
        <v>0</v>
      </c>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1" x14ac:dyDescent="0.25">
      <c r="A274" s="141">
        <v>98</v>
      </c>
      <c r="B274" s="141" t="s">
        <v>416</v>
      </c>
      <c r="C274" s="178" t="s">
        <v>417</v>
      </c>
      <c r="D274" s="147" t="s">
        <v>207</v>
      </c>
      <c r="E274" s="154">
        <v>1</v>
      </c>
      <c r="F274" s="157"/>
      <c r="G274" s="158">
        <f>ROUND(E274*F274,2)</f>
        <v>0</v>
      </c>
      <c r="H274" s="158"/>
      <c r="I274" s="158">
        <f>ROUND(E274*H274,2)</f>
        <v>0</v>
      </c>
      <c r="J274" s="158"/>
      <c r="K274" s="158">
        <f>ROUND(E274*J274,2)</f>
        <v>0</v>
      </c>
      <c r="L274" s="158">
        <v>21</v>
      </c>
      <c r="M274" s="158">
        <f>G274*(1+L274/100)</f>
        <v>0</v>
      </c>
      <c r="N274" s="148">
        <v>0</v>
      </c>
      <c r="O274" s="148">
        <f>ROUND(E274*N274,5)</f>
        <v>0</v>
      </c>
      <c r="P274" s="148">
        <v>0</v>
      </c>
      <c r="Q274" s="148">
        <f>ROUND(E274*P274,5)</f>
        <v>0</v>
      </c>
      <c r="R274" s="148"/>
      <c r="S274" s="148"/>
      <c r="T274" s="149">
        <v>0</v>
      </c>
      <c r="U274" s="148">
        <f>ROUND(E274*T274,2)</f>
        <v>0</v>
      </c>
      <c r="V274" s="140"/>
      <c r="W274" s="140"/>
      <c r="X274" s="140"/>
      <c r="Y274" s="140"/>
      <c r="Z274" s="140"/>
      <c r="AA274" s="140"/>
      <c r="AB274" s="140"/>
      <c r="AC274" s="140"/>
      <c r="AD274" s="140"/>
      <c r="AE274" s="140" t="s">
        <v>128</v>
      </c>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1" x14ac:dyDescent="0.25">
      <c r="A275" s="141"/>
      <c r="B275" s="141"/>
      <c r="C275" s="179" t="s">
        <v>52</v>
      </c>
      <c r="D275" s="150"/>
      <c r="E275" s="155">
        <v>1</v>
      </c>
      <c r="F275" s="158"/>
      <c r="G275" s="158"/>
      <c r="H275" s="158"/>
      <c r="I275" s="158"/>
      <c r="J275" s="158"/>
      <c r="K275" s="158"/>
      <c r="L275" s="158"/>
      <c r="M275" s="158"/>
      <c r="N275" s="148"/>
      <c r="O275" s="148"/>
      <c r="P275" s="148"/>
      <c r="Q275" s="148"/>
      <c r="R275" s="148"/>
      <c r="S275" s="148"/>
      <c r="T275" s="149"/>
      <c r="U275" s="148"/>
      <c r="V275" s="140"/>
      <c r="W275" s="140"/>
      <c r="X275" s="140"/>
      <c r="Y275" s="140"/>
      <c r="Z275" s="140"/>
      <c r="AA275" s="140"/>
      <c r="AB275" s="140"/>
      <c r="AC275" s="140"/>
      <c r="AD275" s="140"/>
      <c r="AE275" s="140" t="s">
        <v>130</v>
      </c>
      <c r="AF275" s="140">
        <v>0</v>
      </c>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ht="20" outlineLevel="1" x14ac:dyDescent="0.25">
      <c r="A276" s="141">
        <v>99</v>
      </c>
      <c r="B276" s="141" t="s">
        <v>418</v>
      </c>
      <c r="C276" s="178" t="s">
        <v>415</v>
      </c>
      <c r="D276" s="147" t="s">
        <v>207</v>
      </c>
      <c r="E276" s="154">
        <v>1</v>
      </c>
      <c r="F276" s="157"/>
      <c r="G276" s="158">
        <f>ROUND(E276*F276,2)</f>
        <v>0</v>
      </c>
      <c r="H276" s="158"/>
      <c r="I276" s="158">
        <f>ROUND(E276*H276,2)</f>
        <v>0</v>
      </c>
      <c r="J276" s="158"/>
      <c r="K276" s="158">
        <f>ROUND(E276*J276,2)</f>
        <v>0</v>
      </c>
      <c r="L276" s="158">
        <v>21</v>
      </c>
      <c r="M276" s="158">
        <f>G276*(1+L276/100)</f>
        <v>0</v>
      </c>
      <c r="N276" s="148">
        <v>0</v>
      </c>
      <c r="O276" s="148">
        <f>ROUND(E276*N276,5)</f>
        <v>0</v>
      </c>
      <c r="P276" s="148">
        <v>0</v>
      </c>
      <c r="Q276" s="148">
        <f>ROUND(E276*P276,5)</f>
        <v>0</v>
      </c>
      <c r="R276" s="148"/>
      <c r="S276" s="148"/>
      <c r="T276" s="149">
        <v>0</v>
      </c>
      <c r="U276" s="148">
        <f>ROUND(E276*T276,2)</f>
        <v>0</v>
      </c>
      <c r="V276" s="140"/>
      <c r="W276" s="140"/>
      <c r="X276" s="140"/>
      <c r="Y276" s="140"/>
      <c r="Z276" s="140"/>
      <c r="AA276" s="140"/>
      <c r="AB276" s="140"/>
      <c r="AC276" s="140"/>
      <c r="AD276" s="140"/>
      <c r="AE276" s="140" t="s">
        <v>128</v>
      </c>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1" x14ac:dyDescent="0.25">
      <c r="A277" s="141"/>
      <c r="B277" s="141"/>
      <c r="C277" s="179" t="s">
        <v>52</v>
      </c>
      <c r="D277" s="150"/>
      <c r="E277" s="155">
        <v>1</v>
      </c>
      <c r="F277" s="158"/>
      <c r="G277" s="158"/>
      <c r="H277" s="158"/>
      <c r="I277" s="158"/>
      <c r="J277" s="158"/>
      <c r="K277" s="158"/>
      <c r="L277" s="158"/>
      <c r="M277" s="158"/>
      <c r="N277" s="148"/>
      <c r="O277" s="148"/>
      <c r="P277" s="148"/>
      <c r="Q277" s="148"/>
      <c r="R277" s="148"/>
      <c r="S277" s="148"/>
      <c r="T277" s="149"/>
      <c r="U277" s="148"/>
      <c r="V277" s="140"/>
      <c r="W277" s="140"/>
      <c r="X277" s="140"/>
      <c r="Y277" s="140"/>
      <c r="Z277" s="140"/>
      <c r="AA277" s="140"/>
      <c r="AB277" s="140"/>
      <c r="AC277" s="140"/>
      <c r="AD277" s="140"/>
      <c r="AE277" s="140" t="s">
        <v>130</v>
      </c>
      <c r="AF277" s="140">
        <v>0</v>
      </c>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1" x14ac:dyDescent="0.25">
      <c r="A278" s="141">
        <v>100</v>
      </c>
      <c r="B278" s="141" t="s">
        <v>419</v>
      </c>
      <c r="C278" s="178" t="s">
        <v>420</v>
      </c>
      <c r="D278" s="147" t="s">
        <v>154</v>
      </c>
      <c r="E278" s="154">
        <v>0.95</v>
      </c>
      <c r="F278" s="157"/>
      <c r="G278" s="158">
        <f>ROUND(E278*F278,2)</f>
        <v>0</v>
      </c>
      <c r="H278" s="158"/>
      <c r="I278" s="158">
        <f>ROUND(E278*H278,2)</f>
        <v>0</v>
      </c>
      <c r="J278" s="158"/>
      <c r="K278" s="158">
        <f>ROUND(E278*J278,2)</f>
        <v>0</v>
      </c>
      <c r="L278" s="158">
        <v>21</v>
      </c>
      <c r="M278" s="158">
        <f>G278*(1+L278/100)</f>
        <v>0</v>
      </c>
      <c r="N278" s="148">
        <v>0</v>
      </c>
      <c r="O278" s="148">
        <f>ROUND(E278*N278,5)</f>
        <v>0</v>
      </c>
      <c r="P278" s="148">
        <v>0</v>
      </c>
      <c r="Q278" s="148">
        <f>ROUND(E278*P278,5)</f>
        <v>0</v>
      </c>
      <c r="R278" s="148"/>
      <c r="S278" s="148"/>
      <c r="T278" s="149">
        <v>2.2549999999999999</v>
      </c>
      <c r="U278" s="148">
        <f>ROUND(E278*T278,2)</f>
        <v>2.14</v>
      </c>
      <c r="V278" s="140"/>
      <c r="W278" s="140"/>
      <c r="X278" s="140"/>
      <c r="Y278" s="140"/>
      <c r="Z278" s="140"/>
      <c r="AA278" s="140"/>
      <c r="AB278" s="140"/>
      <c r="AC278" s="140"/>
      <c r="AD278" s="140"/>
      <c r="AE278" s="140" t="s">
        <v>128</v>
      </c>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x14ac:dyDescent="0.25">
      <c r="A279" s="142" t="s">
        <v>123</v>
      </c>
      <c r="B279" s="142" t="s">
        <v>82</v>
      </c>
      <c r="C279" s="180" t="s">
        <v>83</v>
      </c>
      <c r="D279" s="151"/>
      <c r="E279" s="156"/>
      <c r="F279" s="159"/>
      <c r="G279" s="159">
        <f>SUMIF(AE280:AE307,"&lt;&gt;NOR",G280:G307)</f>
        <v>0</v>
      </c>
      <c r="H279" s="159"/>
      <c r="I279" s="159">
        <f>SUM(I280:I307)</f>
        <v>0</v>
      </c>
      <c r="J279" s="159"/>
      <c r="K279" s="159">
        <f>SUM(K280:K307)</f>
        <v>0</v>
      </c>
      <c r="L279" s="159"/>
      <c r="M279" s="159">
        <f>SUM(M280:M307)</f>
        <v>0</v>
      </c>
      <c r="N279" s="152"/>
      <c r="O279" s="152">
        <f>SUM(O280:O307)</f>
        <v>0.30000000000000004</v>
      </c>
      <c r="P279" s="152"/>
      <c r="Q279" s="152">
        <f>SUM(Q280:Q307)</f>
        <v>0</v>
      </c>
      <c r="R279" s="152"/>
      <c r="S279" s="152"/>
      <c r="T279" s="153"/>
      <c r="U279" s="152">
        <f>SUM(U280:U307)</f>
        <v>0</v>
      </c>
      <c r="AE279" t="s">
        <v>124</v>
      </c>
    </row>
    <row r="280" spans="1:60" ht="20" outlineLevel="1" x14ac:dyDescent="0.25">
      <c r="A280" s="141">
        <v>101</v>
      </c>
      <c r="B280" s="141" t="s">
        <v>421</v>
      </c>
      <c r="C280" s="178" t="s">
        <v>422</v>
      </c>
      <c r="D280" s="147" t="s">
        <v>136</v>
      </c>
      <c r="E280" s="154">
        <v>1</v>
      </c>
      <c r="F280" s="157"/>
      <c r="G280" s="158">
        <f>ROUND(E280*F280,2)</f>
        <v>0</v>
      </c>
      <c r="H280" s="158"/>
      <c r="I280" s="158">
        <f>ROUND(E280*H280,2)</f>
        <v>0</v>
      </c>
      <c r="J280" s="158"/>
      <c r="K280" s="158">
        <f>ROUND(E280*J280,2)</f>
        <v>0</v>
      </c>
      <c r="L280" s="158">
        <v>21</v>
      </c>
      <c r="M280" s="158">
        <f>G280*(1+L280/100)</f>
        <v>0</v>
      </c>
      <c r="N280" s="148">
        <v>0.1</v>
      </c>
      <c r="O280" s="148">
        <f>ROUND(E280*N280,5)</f>
        <v>0.1</v>
      </c>
      <c r="P280" s="148">
        <v>0</v>
      </c>
      <c r="Q280" s="148">
        <f>ROUND(E280*P280,5)</f>
        <v>0</v>
      </c>
      <c r="R280" s="148"/>
      <c r="S280" s="148"/>
      <c r="T280" s="149">
        <v>0</v>
      </c>
      <c r="U280" s="148">
        <f>ROUND(E280*T280,2)</f>
        <v>0</v>
      </c>
      <c r="V280" s="140"/>
      <c r="W280" s="140"/>
      <c r="X280" s="140"/>
      <c r="Y280" s="140"/>
      <c r="Z280" s="140"/>
      <c r="AA280" s="140"/>
      <c r="AB280" s="140"/>
      <c r="AC280" s="140"/>
      <c r="AD280" s="140"/>
      <c r="AE280" s="140" t="s">
        <v>128</v>
      </c>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1" x14ac:dyDescent="0.25">
      <c r="A281" s="141"/>
      <c r="B281" s="141"/>
      <c r="C281" s="179" t="s">
        <v>52</v>
      </c>
      <c r="D281" s="150"/>
      <c r="E281" s="155">
        <v>1</v>
      </c>
      <c r="F281" s="158"/>
      <c r="G281" s="158"/>
      <c r="H281" s="158"/>
      <c r="I281" s="158"/>
      <c r="J281" s="158"/>
      <c r="K281" s="158"/>
      <c r="L281" s="158"/>
      <c r="M281" s="158"/>
      <c r="N281" s="148"/>
      <c r="O281" s="148"/>
      <c r="P281" s="148"/>
      <c r="Q281" s="148"/>
      <c r="R281" s="148"/>
      <c r="S281" s="148"/>
      <c r="T281" s="149"/>
      <c r="U281" s="148"/>
      <c r="V281" s="140"/>
      <c r="W281" s="140"/>
      <c r="X281" s="140"/>
      <c r="Y281" s="140"/>
      <c r="Z281" s="140"/>
      <c r="AA281" s="140"/>
      <c r="AB281" s="140"/>
      <c r="AC281" s="140"/>
      <c r="AD281" s="140"/>
      <c r="AE281" s="140" t="s">
        <v>130</v>
      </c>
      <c r="AF281" s="140">
        <v>0</v>
      </c>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t="20" outlineLevel="1" x14ac:dyDescent="0.25">
      <c r="A282" s="141">
        <v>102</v>
      </c>
      <c r="B282" s="141" t="s">
        <v>423</v>
      </c>
      <c r="C282" s="178" t="s">
        <v>422</v>
      </c>
      <c r="D282" s="147" t="s">
        <v>136</v>
      </c>
      <c r="E282" s="154">
        <v>1</v>
      </c>
      <c r="F282" s="157"/>
      <c r="G282" s="158">
        <f>ROUND(E282*F282,2)</f>
        <v>0</v>
      </c>
      <c r="H282" s="158"/>
      <c r="I282" s="158">
        <f>ROUND(E282*H282,2)</f>
        <v>0</v>
      </c>
      <c r="J282" s="158"/>
      <c r="K282" s="158">
        <f>ROUND(E282*J282,2)</f>
        <v>0</v>
      </c>
      <c r="L282" s="158">
        <v>21</v>
      </c>
      <c r="M282" s="158">
        <f>G282*(1+L282/100)</f>
        <v>0</v>
      </c>
      <c r="N282" s="148">
        <v>0.1</v>
      </c>
      <c r="O282" s="148">
        <f>ROUND(E282*N282,5)</f>
        <v>0.1</v>
      </c>
      <c r="P282" s="148">
        <v>0</v>
      </c>
      <c r="Q282" s="148">
        <f>ROUND(E282*P282,5)</f>
        <v>0</v>
      </c>
      <c r="R282" s="148"/>
      <c r="S282" s="148"/>
      <c r="T282" s="149">
        <v>0</v>
      </c>
      <c r="U282" s="148">
        <f>ROUND(E282*T282,2)</f>
        <v>0</v>
      </c>
      <c r="V282" s="140"/>
      <c r="W282" s="140"/>
      <c r="X282" s="140"/>
      <c r="Y282" s="140"/>
      <c r="Z282" s="140"/>
      <c r="AA282" s="140"/>
      <c r="AB282" s="140"/>
      <c r="AC282" s="140"/>
      <c r="AD282" s="140"/>
      <c r="AE282" s="140" t="s">
        <v>128</v>
      </c>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1" x14ac:dyDescent="0.25">
      <c r="A283" s="141"/>
      <c r="B283" s="141"/>
      <c r="C283" s="179" t="s">
        <v>52</v>
      </c>
      <c r="D283" s="150"/>
      <c r="E283" s="155">
        <v>1</v>
      </c>
      <c r="F283" s="158"/>
      <c r="G283" s="158"/>
      <c r="H283" s="158"/>
      <c r="I283" s="158"/>
      <c r="J283" s="158"/>
      <c r="K283" s="158"/>
      <c r="L283" s="158"/>
      <c r="M283" s="158"/>
      <c r="N283" s="148"/>
      <c r="O283" s="148"/>
      <c r="P283" s="148"/>
      <c r="Q283" s="148"/>
      <c r="R283" s="148"/>
      <c r="S283" s="148"/>
      <c r="T283" s="149"/>
      <c r="U283" s="148"/>
      <c r="V283" s="140"/>
      <c r="W283" s="140"/>
      <c r="X283" s="140"/>
      <c r="Y283" s="140"/>
      <c r="Z283" s="140"/>
      <c r="AA283" s="140"/>
      <c r="AB283" s="140"/>
      <c r="AC283" s="140"/>
      <c r="AD283" s="140"/>
      <c r="AE283" s="140" t="s">
        <v>130</v>
      </c>
      <c r="AF283" s="140">
        <v>0</v>
      </c>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ht="20" outlineLevel="1" x14ac:dyDescent="0.25">
      <c r="A284" s="141">
        <v>103</v>
      </c>
      <c r="B284" s="141" t="s">
        <v>424</v>
      </c>
      <c r="C284" s="178" t="s">
        <v>425</v>
      </c>
      <c r="D284" s="147" t="s">
        <v>136</v>
      </c>
      <c r="E284" s="154">
        <v>1</v>
      </c>
      <c r="F284" s="157"/>
      <c r="G284" s="158">
        <f>ROUND(E284*F284,2)</f>
        <v>0</v>
      </c>
      <c r="H284" s="158"/>
      <c r="I284" s="158">
        <f>ROUND(E284*H284,2)</f>
        <v>0</v>
      </c>
      <c r="J284" s="158"/>
      <c r="K284" s="158">
        <f>ROUND(E284*J284,2)</f>
        <v>0</v>
      </c>
      <c r="L284" s="158">
        <v>21</v>
      </c>
      <c r="M284" s="158">
        <f>G284*(1+L284/100)</f>
        <v>0</v>
      </c>
      <c r="N284" s="148">
        <v>0.1</v>
      </c>
      <c r="O284" s="148">
        <f>ROUND(E284*N284,5)</f>
        <v>0.1</v>
      </c>
      <c r="P284" s="148">
        <v>0</v>
      </c>
      <c r="Q284" s="148">
        <f>ROUND(E284*P284,5)</f>
        <v>0</v>
      </c>
      <c r="R284" s="148"/>
      <c r="S284" s="148"/>
      <c r="T284" s="149">
        <v>0</v>
      </c>
      <c r="U284" s="148">
        <f>ROUND(E284*T284,2)</f>
        <v>0</v>
      </c>
      <c r="V284" s="140"/>
      <c r="W284" s="140"/>
      <c r="X284" s="140"/>
      <c r="Y284" s="140"/>
      <c r="Z284" s="140"/>
      <c r="AA284" s="140"/>
      <c r="AB284" s="140"/>
      <c r="AC284" s="140"/>
      <c r="AD284" s="140"/>
      <c r="AE284" s="140" t="s">
        <v>128</v>
      </c>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1" x14ac:dyDescent="0.25">
      <c r="A285" s="141"/>
      <c r="B285" s="141"/>
      <c r="C285" s="179" t="s">
        <v>52</v>
      </c>
      <c r="D285" s="150"/>
      <c r="E285" s="155">
        <v>1</v>
      </c>
      <c r="F285" s="158"/>
      <c r="G285" s="158"/>
      <c r="H285" s="158"/>
      <c r="I285" s="158"/>
      <c r="J285" s="158"/>
      <c r="K285" s="158"/>
      <c r="L285" s="158"/>
      <c r="M285" s="158"/>
      <c r="N285" s="148"/>
      <c r="O285" s="148"/>
      <c r="P285" s="148"/>
      <c r="Q285" s="148"/>
      <c r="R285" s="148"/>
      <c r="S285" s="148"/>
      <c r="T285" s="149"/>
      <c r="U285" s="148"/>
      <c r="V285" s="140"/>
      <c r="W285" s="140"/>
      <c r="X285" s="140"/>
      <c r="Y285" s="140"/>
      <c r="Z285" s="140"/>
      <c r="AA285" s="140"/>
      <c r="AB285" s="140"/>
      <c r="AC285" s="140"/>
      <c r="AD285" s="140"/>
      <c r="AE285" s="140" t="s">
        <v>130</v>
      </c>
      <c r="AF285" s="140">
        <v>0</v>
      </c>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ht="20" outlineLevel="1" x14ac:dyDescent="0.25">
      <c r="A286" s="141">
        <v>104</v>
      </c>
      <c r="B286" s="141" t="s">
        <v>426</v>
      </c>
      <c r="C286" s="178" t="s">
        <v>427</v>
      </c>
      <c r="D286" s="147" t="s">
        <v>136</v>
      </c>
      <c r="E286" s="154">
        <v>3</v>
      </c>
      <c r="F286" s="157"/>
      <c r="G286" s="158">
        <f>ROUND(E286*F286,2)</f>
        <v>0</v>
      </c>
      <c r="H286" s="158"/>
      <c r="I286" s="158">
        <f>ROUND(E286*H286,2)</f>
        <v>0</v>
      </c>
      <c r="J286" s="158"/>
      <c r="K286" s="158">
        <f>ROUND(E286*J286,2)</f>
        <v>0</v>
      </c>
      <c r="L286" s="158">
        <v>21</v>
      </c>
      <c r="M286" s="158">
        <f>G286*(1+L286/100)</f>
        <v>0</v>
      </c>
      <c r="N286" s="148">
        <v>0</v>
      </c>
      <c r="O286" s="148">
        <f>ROUND(E286*N286,5)</f>
        <v>0</v>
      </c>
      <c r="P286" s="148">
        <v>0</v>
      </c>
      <c r="Q286" s="148">
        <f>ROUND(E286*P286,5)</f>
        <v>0</v>
      </c>
      <c r="R286" s="148"/>
      <c r="S286" s="148"/>
      <c r="T286" s="149">
        <v>0</v>
      </c>
      <c r="U286" s="148">
        <f>ROUND(E286*T286,2)</f>
        <v>0</v>
      </c>
      <c r="V286" s="140"/>
      <c r="W286" s="140"/>
      <c r="X286" s="140"/>
      <c r="Y286" s="140"/>
      <c r="Z286" s="140"/>
      <c r="AA286" s="140"/>
      <c r="AB286" s="140"/>
      <c r="AC286" s="140"/>
      <c r="AD286" s="140"/>
      <c r="AE286" s="140" t="s">
        <v>128</v>
      </c>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1" x14ac:dyDescent="0.25">
      <c r="A287" s="141"/>
      <c r="B287" s="141"/>
      <c r="C287" s="179" t="s">
        <v>54</v>
      </c>
      <c r="D287" s="150"/>
      <c r="E287" s="155">
        <v>3</v>
      </c>
      <c r="F287" s="158"/>
      <c r="G287" s="158"/>
      <c r="H287" s="158"/>
      <c r="I287" s="158"/>
      <c r="J287" s="158"/>
      <c r="K287" s="158"/>
      <c r="L287" s="158"/>
      <c r="M287" s="158"/>
      <c r="N287" s="148"/>
      <c r="O287" s="148"/>
      <c r="P287" s="148"/>
      <c r="Q287" s="148"/>
      <c r="R287" s="148"/>
      <c r="S287" s="148"/>
      <c r="T287" s="149"/>
      <c r="U287" s="148"/>
      <c r="V287" s="140"/>
      <c r="W287" s="140"/>
      <c r="X287" s="140"/>
      <c r="Y287" s="140"/>
      <c r="Z287" s="140"/>
      <c r="AA287" s="140"/>
      <c r="AB287" s="140"/>
      <c r="AC287" s="140"/>
      <c r="AD287" s="140"/>
      <c r="AE287" s="140" t="s">
        <v>130</v>
      </c>
      <c r="AF287" s="140">
        <v>0</v>
      </c>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1" x14ac:dyDescent="0.25">
      <c r="A288" s="141">
        <v>105</v>
      </c>
      <c r="B288" s="141" t="s">
        <v>428</v>
      </c>
      <c r="C288" s="178" t="s">
        <v>429</v>
      </c>
      <c r="D288" s="147" t="s">
        <v>136</v>
      </c>
      <c r="E288" s="154">
        <v>1</v>
      </c>
      <c r="F288" s="157"/>
      <c r="G288" s="158">
        <f>ROUND(E288*F288,2)</f>
        <v>0</v>
      </c>
      <c r="H288" s="158"/>
      <c r="I288" s="158">
        <f>ROUND(E288*H288,2)</f>
        <v>0</v>
      </c>
      <c r="J288" s="158"/>
      <c r="K288" s="158">
        <f>ROUND(E288*J288,2)</f>
        <v>0</v>
      </c>
      <c r="L288" s="158">
        <v>21</v>
      </c>
      <c r="M288" s="158">
        <f>G288*(1+L288/100)</f>
        <v>0</v>
      </c>
      <c r="N288" s="148">
        <v>0</v>
      </c>
      <c r="O288" s="148">
        <f>ROUND(E288*N288,5)</f>
        <v>0</v>
      </c>
      <c r="P288" s="148">
        <v>0</v>
      </c>
      <c r="Q288" s="148">
        <f>ROUND(E288*P288,5)</f>
        <v>0</v>
      </c>
      <c r="R288" s="148"/>
      <c r="S288" s="148"/>
      <c r="T288" s="149">
        <v>0</v>
      </c>
      <c r="U288" s="148">
        <f>ROUND(E288*T288,2)</f>
        <v>0</v>
      </c>
      <c r="V288" s="140"/>
      <c r="W288" s="140"/>
      <c r="X288" s="140"/>
      <c r="Y288" s="140"/>
      <c r="Z288" s="140"/>
      <c r="AA288" s="140"/>
      <c r="AB288" s="140"/>
      <c r="AC288" s="140"/>
      <c r="AD288" s="140"/>
      <c r="AE288" s="140" t="s">
        <v>128</v>
      </c>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x14ac:dyDescent="0.25">
      <c r="A289" s="141"/>
      <c r="B289" s="141"/>
      <c r="C289" s="179" t="s">
        <v>52</v>
      </c>
      <c r="D289" s="150"/>
      <c r="E289" s="155">
        <v>1</v>
      </c>
      <c r="F289" s="158"/>
      <c r="G289" s="158"/>
      <c r="H289" s="158"/>
      <c r="I289" s="158"/>
      <c r="J289" s="158"/>
      <c r="K289" s="158"/>
      <c r="L289" s="158"/>
      <c r="M289" s="158"/>
      <c r="N289" s="148"/>
      <c r="O289" s="148"/>
      <c r="P289" s="148"/>
      <c r="Q289" s="148"/>
      <c r="R289" s="148"/>
      <c r="S289" s="148"/>
      <c r="T289" s="149"/>
      <c r="U289" s="148"/>
      <c r="V289" s="140"/>
      <c r="W289" s="140"/>
      <c r="X289" s="140"/>
      <c r="Y289" s="140"/>
      <c r="Z289" s="140"/>
      <c r="AA289" s="140"/>
      <c r="AB289" s="140"/>
      <c r="AC289" s="140"/>
      <c r="AD289" s="140"/>
      <c r="AE289" s="140" t="s">
        <v>130</v>
      </c>
      <c r="AF289" s="140">
        <v>0</v>
      </c>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1" x14ac:dyDescent="0.25">
      <c r="A290" s="141">
        <v>106</v>
      </c>
      <c r="B290" s="141" t="s">
        <v>430</v>
      </c>
      <c r="C290" s="178" t="s">
        <v>431</v>
      </c>
      <c r="D290" s="147" t="s">
        <v>136</v>
      </c>
      <c r="E290" s="154">
        <v>1</v>
      </c>
      <c r="F290" s="157"/>
      <c r="G290" s="158">
        <f>ROUND(E290*F290,2)</f>
        <v>0</v>
      </c>
      <c r="H290" s="158"/>
      <c r="I290" s="158">
        <f>ROUND(E290*H290,2)</f>
        <v>0</v>
      </c>
      <c r="J290" s="158"/>
      <c r="K290" s="158">
        <f>ROUND(E290*J290,2)</f>
        <v>0</v>
      </c>
      <c r="L290" s="158">
        <v>21</v>
      </c>
      <c r="M290" s="158">
        <f>G290*(1+L290/100)</f>
        <v>0</v>
      </c>
      <c r="N290" s="148">
        <v>0</v>
      </c>
      <c r="O290" s="148">
        <f>ROUND(E290*N290,5)</f>
        <v>0</v>
      </c>
      <c r="P290" s="148">
        <v>0</v>
      </c>
      <c r="Q290" s="148">
        <f>ROUND(E290*P290,5)</f>
        <v>0</v>
      </c>
      <c r="R290" s="148"/>
      <c r="S290" s="148"/>
      <c r="T290" s="149">
        <v>0</v>
      </c>
      <c r="U290" s="148">
        <f>ROUND(E290*T290,2)</f>
        <v>0</v>
      </c>
      <c r="V290" s="140"/>
      <c r="W290" s="140"/>
      <c r="X290" s="140"/>
      <c r="Y290" s="140"/>
      <c r="Z290" s="140"/>
      <c r="AA290" s="140"/>
      <c r="AB290" s="140"/>
      <c r="AC290" s="140"/>
      <c r="AD290" s="140"/>
      <c r="AE290" s="140" t="s">
        <v>128</v>
      </c>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1" x14ac:dyDescent="0.25">
      <c r="A291" s="141"/>
      <c r="B291" s="141"/>
      <c r="C291" s="179" t="s">
        <v>52</v>
      </c>
      <c r="D291" s="150"/>
      <c r="E291" s="155">
        <v>1</v>
      </c>
      <c r="F291" s="158"/>
      <c r="G291" s="158"/>
      <c r="H291" s="158"/>
      <c r="I291" s="158"/>
      <c r="J291" s="158"/>
      <c r="K291" s="158"/>
      <c r="L291" s="158"/>
      <c r="M291" s="158"/>
      <c r="N291" s="148"/>
      <c r="O291" s="148"/>
      <c r="P291" s="148"/>
      <c r="Q291" s="148"/>
      <c r="R291" s="148"/>
      <c r="S291" s="148"/>
      <c r="T291" s="149"/>
      <c r="U291" s="148"/>
      <c r="V291" s="140"/>
      <c r="W291" s="140"/>
      <c r="X291" s="140"/>
      <c r="Y291" s="140"/>
      <c r="Z291" s="140"/>
      <c r="AA291" s="140"/>
      <c r="AB291" s="140"/>
      <c r="AC291" s="140"/>
      <c r="AD291" s="140"/>
      <c r="AE291" s="140" t="s">
        <v>130</v>
      </c>
      <c r="AF291" s="140">
        <v>0</v>
      </c>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0" outlineLevel="1" x14ac:dyDescent="0.25">
      <c r="A292" s="141">
        <v>107</v>
      </c>
      <c r="B292" s="141" t="s">
        <v>432</v>
      </c>
      <c r="C292" s="178" t="s">
        <v>433</v>
      </c>
      <c r="D292" s="147" t="s">
        <v>136</v>
      </c>
      <c r="E292" s="154">
        <v>1</v>
      </c>
      <c r="F292" s="157"/>
      <c r="G292" s="158">
        <f>ROUND(E292*F292,2)</f>
        <v>0</v>
      </c>
      <c r="H292" s="158"/>
      <c r="I292" s="158">
        <f>ROUND(E292*H292,2)</f>
        <v>0</v>
      </c>
      <c r="J292" s="158"/>
      <c r="K292" s="158">
        <f>ROUND(E292*J292,2)</f>
        <v>0</v>
      </c>
      <c r="L292" s="158">
        <v>21</v>
      </c>
      <c r="M292" s="158">
        <f>G292*(1+L292/100)</f>
        <v>0</v>
      </c>
      <c r="N292" s="148">
        <v>0</v>
      </c>
      <c r="O292" s="148">
        <f>ROUND(E292*N292,5)</f>
        <v>0</v>
      </c>
      <c r="P292" s="148">
        <v>0</v>
      </c>
      <c r="Q292" s="148">
        <f>ROUND(E292*P292,5)</f>
        <v>0</v>
      </c>
      <c r="R292" s="148"/>
      <c r="S292" s="148"/>
      <c r="T292" s="149">
        <v>0</v>
      </c>
      <c r="U292" s="148">
        <f>ROUND(E292*T292,2)</f>
        <v>0</v>
      </c>
      <c r="V292" s="140"/>
      <c r="W292" s="140"/>
      <c r="X292" s="140"/>
      <c r="Y292" s="140"/>
      <c r="Z292" s="140"/>
      <c r="AA292" s="140"/>
      <c r="AB292" s="140"/>
      <c r="AC292" s="140"/>
      <c r="AD292" s="140"/>
      <c r="AE292" s="140" t="s">
        <v>128</v>
      </c>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1" x14ac:dyDescent="0.25">
      <c r="A293" s="141"/>
      <c r="B293" s="141"/>
      <c r="C293" s="179" t="s">
        <v>52</v>
      </c>
      <c r="D293" s="150"/>
      <c r="E293" s="155">
        <v>1</v>
      </c>
      <c r="F293" s="158"/>
      <c r="G293" s="158"/>
      <c r="H293" s="158"/>
      <c r="I293" s="158"/>
      <c r="J293" s="158"/>
      <c r="K293" s="158"/>
      <c r="L293" s="158"/>
      <c r="M293" s="158"/>
      <c r="N293" s="148"/>
      <c r="O293" s="148"/>
      <c r="P293" s="148"/>
      <c r="Q293" s="148"/>
      <c r="R293" s="148"/>
      <c r="S293" s="148"/>
      <c r="T293" s="149"/>
      <c r="U293" s="148"/>
      <c r="V293" s="140"/>
      <c r="W293" s="140"/>
      <c r="X293" s="140"/>
      <c r="Y293" s="140"/>
      <c r="Z293" s="140"/>
      <c r="AA293" s="140"/>
      <c r="AB293" s="140"/>
      <c r="AC293" s="140"/>
      <c r="AD293" s="140"/>
      <c r="AE293" s="140" t="s">
        <v>130</v>
      </c>
      <c r="AF293" s="140">
        <v>0</v>
      </c>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1" x14ac:dyDescent="0.25">
      <c r="A294" s="141">
        <v>108</v>
      </c>
      <c r="B294" s="141" t="s">
        <v>434</v>
      </c>
      <c r="C294" s="178" t="s">
        <v>435</v>
      </c>
      <c r="D294" s="147" t="s">
        <v>136</v>
      </c>
      <c r="E294" s="154">
        <v>2</v>
      </c>
      <c r="F294" s="157"/>
      <c r="G294" s="158">
        <f>ROUND(E294*F294,2)</f>
        <v>0</v>
      </c>
      <c r="H294" s="158"/>
      <c r="I294" s="158">
        <f>ROUND(E294*H294,2)</f>
        <v>0</v>
      </c>
      <c r="J294" s="158"/>
      <c r="K294" s="158">
        <f>ROUND(E294*J294,2)</f>
        <v>0</v>
      </c>
      <c r="L294" s="158">
        <v>21</v>
      </c>
      <c r="M294" s="158">
        <f>G294*(1+L294/100)</f>
        <v>0</v>
      </c>
      <c r="N294" s="148">
        <v>0</v>
      </c>
      <c r="O294" s="148">
        <f>ROUND(E294*N294,5)</f>
        <v>0</v>
      </c>
      <c r="P294" s="148">
        <v>0</v>
      </c>
      <c r="Q294" s="148">
        <f>ROUND(E294*P294,5)</f>
        <v>0</v>
      </c>
      <c r="R294" s="148"/>
      <c r="S294" s="148"/>
      <c r="T294" s="149">
        <v>0</v>
      </c>
      <c r="U294" s="148">
        <f>ROUND(E294*T294,2)</f>
        <v>0</v>
      </c>
      <c r="V294" s="140"/>
      <c r="W294" s="140"/>
      <c r="X294" s="140"/>
      <c r="Y294" s="140"/>
      <c r="Z294" s="140"/>
      <c r="AA294" s="140"/>
      <c r="AB294" s="140"/>
      <c r="AC294" s="140"/>
      <c r="AD294" s="140"/>
      <c r="AE294" s="140" t="s">
        <v>128</v>
      </c>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1" x14ac:dyDescent="0.25">
      <c r="A295" s="141"/>
      <c r="B295" s="141"/>
      <c r="C295" s="179" t="s">
        <v>177</v>
      </c>
      <c r="D295" s="150"/>
      <c r="E295" s="155">
        <v>2</v>
      </c>
      <c r="F295" s="158"/>
      <c r="G295" s="158"/>
      <c r="H295" s="158"/>
      <c r="I295" s="158"/>
      <c r="J295" s="158"/>
      <c r="K295" s="158"/>
      <c r="L295" s="158"/>
      <c r="M295" s="158"/>
      <c r="N295" s="148"/>
      <c r="O295" s="148"/>
      <c r="P295" s="148"/>
      <c r="Q295" s="148"/>
      <c r="R295" s="148"/>
      <c r="S295" s="148"/>
      <c r="T295" s="149"/>
      <c r="U295" s="148"/>
      <c r="V295" s="140"/>
      <c r="W295" s="140"/>
      <c r="X295" s="140"/>
      <c r="Y295" s="140"/>
      <c r="Z295" s="140"/>
      <c r="AA295" s="140"/>
      <c r="AB295" s="140"/>
      <c r="AC295" s="140"/>
      <c r="AD295" s="140"/>
      <c r="AE295" s="140" t="s">
        <v>130</v>
      </c>
      <c r="AF295" s="140">
        <v>0</v>
      </c>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ht="20" outlineLevel="1" x14ac:dyDescent="0.25">
      <c r="A296" s="141">
        <v>109</v>
      </c>
      <c r="B296" s="141" t="s">
        <v>436</v>
      </c>
      <c r="C296" s="178" t="s">
        <v>437</v>
      </c>
      <c r="D296" s="147" t="s">
        <v>136</v>
      </c>
      <c r="E296" s="154">
        <v>1</v>
      </c>
      <c r="F296" s="157"/>
      <c r="G296" s="158">
        <f>ROUND(E296*F296,2)</f>
        <v>0</v>
      </c>
      <c r="H296" s="158"/>
      <c r="I296" s="158">
        <f>ROUND(E296*H296,2)</f>
        <v>0</v>
      </c>
      <c r="J296" s="158"/>
      <c r="K296" s="158">
        <f>ROUND(E296*J296,2)</f>
        <v>0</v>
      </c>
      <c r="L296" s="158">
        <v>21</v>
      </c>
      <c r="M296" s="158">
        <f>G296*(1+L296/100)</f>
        <v>0</v>
      </c>
      <c r="N296" s="148">
        <v>0</v>
      </c>
      <c r="O296" s="148">
        <f>ROUND(E296*N296,5)</f>
        <v>0</v>
      </c>
      <c r="P296" s="148">
        <v>0</v>
      </c>
      <c r="Q296" s="148">
        <f>ROUND(E296*P296,5)</f>
        <v>0</v>
      </c>
      <c r="R296" s="148"/>
      <c r="S296" s="148"/>
      <c r="T296" s="149">
        <v>0</v>
      </c>
      <c r="U296" s="148">
        <f>ROUND(E296*T296,2)</f>
        <v>0</v>
      </c>
      <c r="V296" s="140"/>
      <c r="W296" s="140"/>
      <c r="X296" s="140"/>
      <c r="Y296" s="140"/>
      <c r="Z296" s="140"/>
      <c r="AA296" s="140"/>
      <c r="AB296" s="140"/>
      <c r="AC296" s="140"/>
      <c r="AD296" s="140"/>
      <c r="AE296" s="140" t="s">
        <v>128</v>
      </c>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1" x14ac:dyDescent="0.25">
      <c r="A297" s="141"/>
      <c r="B297" s="141"/>
      <c r="C297" s="179" t="s">
        <v>52</v>
      </c>
      <c r="D297" s="150"/>
      <c r="E297" s="155">
        <v>1</v>
      </c>
      <c r="F297" s="158"/>
      <c r="G297" s="158"/>
      <c r="H297" s="158"/>
      <c r="I297" s="158"/>
      <c r="J297" s="158"/>
      <c r="K297" s="158"/>
      <c r="L297" s="158"/>
      <c r="M297" s="158"/>
      <c r="N297" s="148"/>
      <c r="O297" s="148"/>
      <c r="P297" s="148"/>
      <c r="Q297" s="148"/>
      <c r="R297" s="148"/>
      <c r="S297" s="148"/>
      <c r="T297" s="149"/>
      <c r="U297" s="148"/>
      <c r="V297" s="140"/>
      <c r="W297" s="140"/>
      <c r="X297" s="140"/>
      <c r="Y297" s="140"/>
      <c r="Z297" s="140"/>
      <c r="AA297" s="140"/>
      <c r="AB297" s="140"/>
      <c r="AC297" s="140"/>
      <c r="AD297" s="140"/>
      <c r="AE297" s="140" t="s">
        <v>130</v>
      </c>
      <c r="AF297" s="140">
        <v>0</v>
      </c>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ht="20" outlineLevel="1" x14ac:dyDescent="0.25">
      <c r="A298" s="141">
        <v>110</v>
      </c>
      <c r="B298" s="141" t="s">
        <v>438</v>
      </c>
      <c r="C298" s="178" t="s">
        <v>439</v>
      </c>
      <c r="D298" s="147" t="s">
        <v>136</v>
      </c>
      <c r="E298" s="154">
        <v>1</v>
      </c>
      <c r="F298" s="157"/>
      <c r="G298" s="158">
        <f>ROUND(E298*F298,2)</f>
        <v>0</v>
      </c>
      <c r="H298" s="158"/>
      <c r="I298" s="158">
        <f>ROUND(E298*H298,2)</f>
        <v>0</v>
      </c>
      <c r="J298" s="158"/>
      <c r="K298" s="158">
        <f>ROUND(E298*J298,2)</f>
        <v>0</v>
      </c>
      <c r="L298" s="158">
        <v>21</v>
      </c>
      <c r="M298" s="158">
        <f>G298*(1+L298/100)</f>
        <v>0</v>
      </c>
      <c r="N298" s="148">
        <v>0</v>
      </c>
      <c r="O298" s="148">
        <f>ROUND(E298*N298,5)</f>
        <v>0</v>
      </c>
      <c r="P298" s="148">
        <v>0</v>
      </c>
      <c r="Q298" s="148">
        <f>ROUND(E298*P298,5)</f>
        <v>0</v>
      </c>
      <c r="R298" s="148"/>
      <c r="S298" s="148"/>
      <c r="T298" s="149">
        <v>0</v>
      </c>
      <c r="U298" s="148">
        <f>ROUND(E298*T298,2)</f>
        <v>0</v>
      </c>
      <c r="V298" s="140"/>
      <c r="W298" s="140"/>
      <c r="X298" s="140"/>
      <c r="Y298" s="140"/>
      <c r="Z298" s="140"/>
      <c r="AA298" s="140"/>
      <c r="AB298" s="140"/>
      <c r="AC298" s="140"/>
      <c r="AD298" s="140"/>
      <c r="AE298" s="140" t="s">
        <v>128</v>
      </c>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1" x14ac:dyDescent="0.25">
      <c r="A299" s="141"/>
      <c r="B299" s="141"/>
      <c r="C299" s="179" t="s">
        <v>52</v>
      </c>
      <c r="D299" s="150"/>
      <c r="E299" s="155">
        <v>1</v>
      </c>
      <c r="F299" s="158"/>
      <c r="G299" s="158"/>
      <c r="H299" s="158"/>
      <c r="I299" s="158"/>
      <c r="J299" s="158"/>
      <c r="K299" s="158"/>
      <c r="L299" s="158"/>
      <c r="M299" s="158"/>
      <c r="N299" s="148"/>
      <c r="O299" s="148"/>
      <c r="P299" s="148"/>
      <c r="Q299" s="148"/>
      <c r="R299" s="148"/>
      <c r="S299" s="148"/>
      <c r="T299" s="149"/>
      <c r="U299" s="148"/>
      <c r="V299" s="140"/>
      <c r="W299" s="140"/>
      <c r="X299" s="140"/>
      <c r="Y299" s="140"/>
      <c r="Z299" s="140"/>
      <c r="AA299" s="140"/>
      <c r="AB299" s="140"/>
      <c r="AC299" s="140"/>
      <c r="AD299" s="140"/>
      <c r="AE299" s="140" t="s">
        <v>130</v>
      </c>
      <c r="AF299" s="140">
        <v>0</v>
      </c>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ht="20" outlineLevel="1" x14ac:dyDescent="0.25">
      <c r="A300" s="141">
        <v>111</v>
      </c>
      <c r="B300" s="141" t="s">
        <v>440</v>
      </c>
      <c r="C300" s="178" t="s">
        <v>441</v>
      </c>
      <c r="D300" s="147" t="s">
        <v>442</v>
      </c>
      <c r="E300" s="154">
        <v>1</v>
      </c>
      <c r="F300" s="157"/>
      <c r="G300" s="158">
        <f>ROUND(E300*F300,2)</f>
        <v>0</v>
      </c>
      <c r="H300" s="158"/>
      <c r="I300" s="158">
        <f>ROUND(E300*H300,2)</f>
        <v>0</v>
      </c>
      <c r="J300" s="158"/>
      <c r="K300" s="158">
        <f>ROUND(E300*J300,2)</f>
        <v>0</v>
      </c>
      <c r="L300" s="158">
        <v>21</v>
      </c>
      <c r="M300" s="158">
        <f>G300*(1+L300/100)</f>
        <v>0</v>
      </c>
      <c r="N300" s="148">
        <v>0</v>
      </c>
      <c r="O300" s="148">
        <f>ROUND(E300*N300,5)</f>
        <v>0</v>
      </c>
      <c r="P300" s="148">
        <v>0</v>
      </c>
      <c r="Q300" s="148">
        <f>ROUND(E300*P300,5)</f>
        <v>0</v>
      </c>
      <c r="R300" s="148"/>
      <c r="S300" s="148"/>
      <c r="T300" s="149">
        <v>0</v>
      </c>
      <c r="U300" s="148">
        <f>ROUND(E300*T300,2)</f>
        <v>0</v>
      </c>
      <c r="V300" s="140"/>
      <c r="W300" s="140"/>
      <c r="X300" s="140"/>
      <c r="Y300" s="140"/>
      <c r="Z300" s="140"/>
      <c r="AA300" s="140"/>
      <c r="AB300" s="140"/>
      <c r="AC300" s="140"/>
      <c r="AD300" s="140"/>
      <c r="AE300" s="140" t="s">
        <v>128</v>
      </c>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1" x14ac:dyDescent="0.25">
      <c r="A301" s="141"/>
      <c r="B301" s="141"/>
      <c r="C301" s="179" t="s">
        <v>52</v>
      </c>
      <c r="D301" s="150"/>
      <c r="E301" s="155">
        <v>1</v>
      </c>
      <c r="F301" s="158"/>
      <c r="G301" s="158"/>
      <c r="H301" s="158"/>
      <c r="I301" s="158"/>
      <c r="J301" s="158"/>
      <c r="K301" s="158"/>
      <c r="L301" s="158"/>
      <c r="M301" s="158"/>
      <c r="N301" s="148"/>
      <c r="O301" s="148"/>
      <c r="P301" s="148"/>
      <c r="Q301" s="148"/>
      <c r="R301" s="148"/>
      <c r="S301" s="148"/>
      <c r="T301" s="149"/>
      <c r="U301" s="148"/>
      <c r="V301" s="140"/>
      <c r="W301" s="140"/>
      <c r="X301" s="140"/>
      <c r="Y301" s="140"/>
      <c r="Z301" s="140"/>
      <c r="AA301" s="140"/>
      <c r="AB301" s="140"/>
      <c r="AC301" s="140"/>
      <c r="AD301" s="140"/>
      <c r="AE301" s="140" t="s">
        <v>130</v>
      </c>
      <c r="AF301" s="140">
        <v>0</v>
      </c>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ht="20" outlineLevel="1" x14ac:dyDescent="0.25">
      <c r="A302" s="141">
        <v>112</v>
      </c>
      <c r="B302" s="141" t="s">
        <v>443</v>
      </c>
      <c r="C302" s="178" t="s">
        <v>444</v>
      </c>
      <c r="D302" s="147" t="s">
        <v>136</v>
      </c>
      <c r="E302" s="154">
        <v>2</v>
      </c>
      <c r="F302" s="157"/>
      <c r="G302" s="158">
        <f>ROUND(E302*F302,2)</f>
        <v>0</v>
      </c>
      <c r="H302" s="158"/>
      <c r="I302" s="158">
        <f>ROUND(E302*H302,2)</f>
        <v>0</v>
      </c>
      <c r="J302" s="158"/>
      <c r="K302" s="158">
        <f>ROUND(E302*J302,2)</f>
        <v>0</v>
      </c>
      <c r="L302" s="158">
        <v>21</v>
      </c>
      <c r="M302" s="158">
        <f>G302*(1+L302/100)</f>
        <v>0</v>
      </c>
      <c r="N302" s="148">
        <v>0</v>
      </c>
      <c r="O302" s="148">
        <f>ROUND(E302*N302,5)</f>
        <v>0</v>
      </c>
      <c r="P302" s="148">
        <v>0</v>
      </c>
      <c r="Q302" s="148">
        <f>ROUND(E302*P302,5)</f>
        <v>0</v>
      </c>
      <c r="R302" s="148"/>
      <c r="S302" s="148"/>
      <c r="T302" s="149">
        <v>0</v>
      </c>
      <c r="U302" s="148">
        <f>ROUND(E302*T302,2)</f>
        <v>0</v>
      </c>
      <c r="V302" s="140"/>
      <c r="W302" s="140"/>
      <c r="X302" s="140"/>
      <c r="Y302" s="140"/>
      <c r="Z302" s="140"/>
      <c r="AA302" s="140"/>
      <c r="AB302" s="140"/>
      <c r="AC302" s="140"/>
      <c r="AD302" s="140"/>
      <c r="AE302" s="140" t="s">
        <v>128</v>
      </c>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1" x14ac:dyDescent="0.25">
      <c r="A303" s="141"/>
      <c r="B303" s="141"/>
      <c r="C303" s="179" t="s">
        <v>177</v>
      </c>
      <c r="D303" s="150"/>
      <c r="E303" s="155">
        <v>2</v>
      </c>
      <c r="F303" s="158"/>
      <c r="G303" s="158"/>
      <c r="H303" s="158"/>
      <c r="I303" s="158"/>
      <c r="J303" s="158"/>
      <c r="K303" s="158"/>
      <c r="L303" s="158"/>
      <c r="M303" s="158"/>
      <c r="N303" s="148"/>
      <c r="O303" s="148"/>
      <c r="P303" s="148"/>
      <c r="Q303" s="148"/>
      <c r="R303" s="148"/>
      <c r="S303" s="148"/>
      <c r="T303" s="149"/>
      <c r="U303" s="148"/>
      <c r="V303" s="140"/>
      <c r="W303" s="140"/>
      <c r="X303" s="140"/>
      <c r="Y303" s="140"/>
      <c r="Z303" s="140"/>
      <c r="AA303" s="140"/>
      <c r="AB303" s="140"/>
      <c r="AC303" s="140"/>
      <c r="AD303" s="140"/>
      <c r="AE303" s="140" t="s">
        <v>130</v>
      </c>
      <c r="AF303" s="140">
        <v>0</v>
      </c>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ht="20" outlineLevel="1" x14ac:dyDescent="0.25">
      <c r="A304" s="141">
        <v>113</v>
      </c>
      <c r="B304" s="141" t="s">
        <v>445</v>
      </c>
      <c r="C304" s="178" t="s">
        <v>446</v>
      </c>
      <c r="D304" s="147" t="s">
        <v>136</v>
      </c>
      <c r="E304" s="154">
        <v>2</v>
      </c>
      <c r="F304" s="157"/>
      <c r="G304" s="158">
        <f>ROUND(E304*F304,2)</f>
        <v>0</v>
      </c>
      <c r="H304" s="158"/>
      <c r="I304" s="158">
        <f>ROUND(E304*H304,2)</f>
        <v>0</v>
      </c>
      <c r="J304" s="158"/>
      <c r="K304" s="158">
        <f>ROUND(E304*J304,2)</f>
        <v>0</v>
      </c>
      <c r="L304" s="158">
        <v>21</v>
      </c>
      <c r="M304" s="158">
        <f>G304*(1+L304/100)</f>
        <v>0</v>
      </c>
      <c r="N304" s="148">
        <v>0</v>
      </c>
      <c r="O304" s="148">
        <f>ROUND(E304*N304,5)</f>
        <v>0</v>
      </c>
      <c r="P304" s="148">
        <v>0</v>
      </c>
      <c r="Q304" s="148">
        <f>ROUND(E304*P304,5)</f>
        <v>0</v>
      </c>
      <c r="R304" s="148"/>
      <c r="S304" s="148"/>
      <c r="T304" s="149">
        <v>0</v>
      </c>
      <c r="U304" s="148">
        <f>ROUND(E304*T304,2)</f>
        <v>0</v>
      </c>
      <c r="V304" s="140"/>
      <c r="W304" s="140"/>
      <c r="X304" s="140"/>
      <c r="Y304" s="140"/>
      <c r="Z304" s="140"/>
      <c r="AA304" s="140"/>
      <c r="AB304" s="140"/>
      <c r="AC304" s="140"/>
      <c r="AD304" s="140"/>
      <c r="AE304" s="140" t="s">
        <v>128</v>
      </c>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1" x14ac:dyDescent="0.25">
      <c r="A305" s="141"/>
      <c r="B305" s="141"/>
      <c r="C305" s="179" t="s">
        <v>177</v>
      </c>
      <c r="D305" s="150"/>
      <c r="E305" s="155">
        <v>2</v>
      </c>
      <c r="F305" s="158"/>
      <c r="G305" s="158"/>
      <c r="H305" s="158"/>
      <c r="I305" s="158"/>
      <c r="J305" s="158"/>
      <c r="K305" s="158"/>
      <c r="L305" s="158"/>
      <c r="M305" s="158"/>
      <c r="N305" s="148"/>
      <c r="O305" s="148"/>
      <c r="P305" s="148"/>
      <c r="Q305" s="148"/>
      <c r="R305" s="148"/>
      <c r="S305" s="148"/>
      <c r="T305" s="149"/>
      <c r="U305" s="148"/>
      <c r="V305" s="140"/>
      <c r="W305" s="140"/>
      <c r="X305" s="140"/>
      <c r="Y305" s="140"/>
      <c r="Z305" s="140"/>
      <c r="AA305" s="140"/>
      <c r="AB305" s="140"/>
      <c r="AC305" s="140"/>
      <c r="AD305" s="140"/>
      <c r="AE305" s="140" t="s">
        <v>130</v>
      </c>
      <c r="AF305" s="140">
        <v>0</v>
      </c>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t="20" outlineLevel="1" x14ac:dyDescent="0.25">
      <c r="A306" s="141">
        <v>114</v>
      </c>
      <c r="B306" s="141" t="s">
        <v>447</v>
      </c>
      <c r="C306" s="178" t="s">
        <v>448</v>
      </c>
      <c r="D306" s="147" t="s">
        <v>136</v>
      </c>
      <c r="E306" s="154">
        <v>1</v>
      </c>
      <c r="F306" s="157"/>
      <c r="G306" s="158">
        <f>ROUND(E306*F306,2)</f>
        <v>0</v>
      </c>
      <c r="H306" s="158"/>
      <c r="I306" s="158">
        <f>ROUND(E306*H306,2)</f>
        <v>0</v>
      </c>
      <c r="J306" s="158"/>
      <c r="K306" s="158">
        <f>ROUND(E306*J306,2)</f>
        <v>0</v>
      </c>
      <c r="L306" s="158">
        <v>21</v>
      </c>
      <c r="M306" s="158">
        <f>G306*(1+L306/100)</f>
        <v>0</v>
      </c>
      <c r="N306" s="148">
        <v>0</v>
      </c>
      <c r="O306" s="148">
        <f>ROUND(E306*N306,5)</f>
        <v>0</v>
      </c>
      <c r="P306" s="148">
        <v>0</v>
      </c>
      <c r="Q306" s="148">
        <f>ROUND(E306*P306,5)</f>
        <v>0</v>
      </c>
      <c r="R306" s="148"/>
      <c r="S306" s="148"/>
      <c r="T306" s="149">
        <v>0</v>
      </c>
      <c r="U306" s="148">
        <f>ROUND(E306*T306,2)</f>
        <v>0</v>
      </c>
      <c r="V306" s="140"/>
      <c r="W306" s="140"/>
      <c r="X306" s="140"/>
      <c r="Y306" s="140"/>
      <c r="Z306" s="140"/>
      <c r="AA306" s="140"/>
      <c r="AB306" s="140"/>
      <c r="AC306" s="140"/>
      <c r="AD306" s="140"/>
      <c r="AE306" s="140" t="s">
        <v>128</v>
      </c>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1" x14ac:dyDescent="0.25">
      <c r="A307" s="141"/>
      <c r="B307" s="141"/>
      <c r="C307" s="179" t="s">
        <v>52</v>
      </c>
      <c r="D307" s="150"/>
      <c r="E307" s="155">
        <v>1</v>
      </c>
      <c r="F307" s="158"/>
      <c r="G307" s="158"/>
      <c r="H307" s="158"/>
      <c r="I307" s="158"/>
      <c r="J307" s="158"/>
      <c r="K307" s="158"/>
      <c r="L307" s="158"/>
      <c r="M307" s="158"/>
      <c r="N307" s="148"/>
      <c r="O307" s="148"/>
      <c r="P307" s="148"/>
      <c r="Q307" s="148"/>
      <c r="R307" s="148"/>
      <c r="S307" s="148"/>
      <c r="T307" s="149"/>
      <c r="U307" s="148"/>
      <c r="V307" s="140"/>
      <c r="W307" s="140"/>
      <c r="X307" s="140"/>
      <c r="Y307" s="140"/>
      <c r="Z307" s="140"/>
      <c r="AA307" s="140"/>
      <c r="AB307" s="140"/>
      <c r="AC307" s="140"/>
      <c r="AD307" s="140"/>
      <c r="AE307" s="140" t="s">
        <v>130</v>
      </c>
      <c r="AF307" s="140">
        <v>0</v>
      </c>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x14ac:dyDescent="0.25">
      <c r="A308" s="142" t="s">
        <v>123</v>
      </c>
      <c r="B308" s="142" t="s">
        <v>84</v>
      </c>
      <c r="C308" s="180" t="s">
        <v>85</v>
      </c>
      <c r="D308" s="151"/>
      <c r="E308" s="156"/>
      <c r="F308" s="159"/>
      <c r="G308" s="159">
        <f>SUMIF(AE309:AE327,"&lt;&gt;NOR",G309:G327)</f>
        <v>0</v>
      </c>
      <c r="H308" s="159"/>
      <c r="I308" s="159">
        <f>SUM(I309:I327)</f>
        <v>0</v>
      </c>
      <c r="J308" s="159"/>
      <c r="K308" s="159">
        <f>SUM(K309:K327)</f>
        <v>0</v>
      </c>
      <c r="L308" s="159"/>
      <c r="M308" s="159">
        <f>SUM(M309:M327)</f>
        <v>0</v>
      </c>
      <c r="N308" s="152"/>
      <c r="O308" s="152">
        <f>SUM(O309:O327)</f>
        <v>1.1293000000000002</v>
      </c>
      <c r="P308" s="152"/>
      <c r="Q308" s="152">
        <f>SUM(Q309:Q327)</f>
        <v>0</v>
      </c>
      <c r="R308" s="152"/>
      <c r="S308" s="152"/>
      <c r="T308" s="153"/>
      <c r="U308" s="152">
        <f>SUM(U309:U327)</f>
        <v>78.52</v>
      </c>
      <c r="AE308" t="s">
        <v>124</v>
      </c>
    </row>
    <row r="309" spans="1:60" outlineLevel="1" x14ac:dyDescent="0.25">
      <c r="A309" s="141">
        <v>115</v>
      </c>
      <c r="B309" s="141" t="s">
        <v>449</v>
      </c>
      <c r="C309" s="178" t="s">
        <v>450</v>
      </c>
      <c r="D309" s="147" t="s">
        <v>139</v>
      </c>
      <c r="E309" s="154">
        <v>42.76</v>
      </c>
      <c r="F309" s="157"/>
      <c r="G309" s="158">
        <f>ROUND(E309*F309,2)</f>
        <v>0</v>
      </c>
      <c r="H309" s="158"/>
      <c r="I309" s="158">
        <f>ROUND(E309*H309,2)</f>
        <v>0</v>
      </c>
      <c r="J309" s="158"/>
      <c r="K309" s="158">
        <f>ROUND(E309*J309,2)</f>
        <v>0</v>
      </c>
      <c r="L309" s="158">
        <v>21</v>
      </c>
      <c r="M309" s="158">
        <f>G309*(1+L309/100)</f>
        <v>0</v>
      </c>
      <c r="N309" s="148">
        <v>2.1000000000000001E-4</v>
      </c>
      <c r="O309" s="148">
        <f>ROUND(E309*N309,5)</f>
        <v>8.9800000000000001E-3</v>
      </c>
      <c r="P309" s="148">
        <v>0</v>
      </c>
      <c r="Q309" s="148">
        <f>ROUND(E309*P309,5)</f>
        <v>0</v>
      </c>
      <c r="R309" s="148"/>
      <c r="S309" s="148"/>
      <c r="T309" s="149">
        <v>0.05</v>
      </c>
      <c r="U309" s="148">
        <f>ROUND(E309*T309,2)</f>
        <v>2.14</v>
      </c>
      <c r="V309" s="140"/>
      <c r="W309" s="140"/>
      <c r="X309" s="140"/>
      <c r="Y309" s="140"/>
      <c r="Z309" s="140"/>
      <c r="AA309" s="140"/>
      <c r="AB309" s="140"/>
      <c r="AC309" s="140"/>
      <c r="AD309" s="140"/>
      <c r="AE309" s="140" t="s">
        <v>128</v>
      </c>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outlineLevel="1" x14ac:dyDescent="0.25">
      <c r="A310" s="141"/>
      <c r="B310" s="141"/>
      <c r="C310" s="179" t="s">
        <v>158</v>
      </c>
      <c r="D310" s="150"/>
      <c r="E310" s="155">
        <v>39.85</v>
      </c>
      <c r="F310" s="158"/>
      <c r="G310" s="158"/>
      <c r="H310" s="158"/>
      <c r="I310" s="158"/>
      <c r="J310" s="158"/>
      <c r="K310" s="158"/>
      <c r="L310" s="158"/>
      <c r="M310" s="158"/>
      <c r="N310" s="148"/>
      <c r="O310" s="148"/>
      <c r="P310" s="148"/>
      <c r="Q310" s="148"/>
      <c r="R310" s="148"/>
      <c r="S310" s="148"/>
      <c r="T310" s="149"/>
      <c r="U310" s="148"/>
      <c r="V310" s="140"/>
      <c r="W310" s="140"/>
      <c r="X310" s="140"/>
      <c r="Y310" s="140"/>
      <c r="Z310" s="140"/>
      <c r="AA310" s="140"/>
      <c r="AB310" s="140"/>
      <c r="AC310" s="140"/>
      <c r="AD310" s="140"/>
      <c r="AE310" s="140" t="s">
        <v>130</v>
      </c>
      <c r="AF310" s="140">
        <v>0</v>
      </c>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1" x14ac:dyDescent="0.25">
      <c r="A311" s="141"/>
      <c r="B311" s="141"/>
      <c r="C311" s="179" t="s">
        <v>159</v>
      </c>
      <c r="D311" s="150"/>
      <c r="E311" s="155">
        <v>2.91</v>
      </c>
      <c r="F311" s="158"/>
      <c r="G311" s="158"/>
      <c r="H311" s="158"/>
      <c r="I311" s="158"/>
      <c r="J311" s="158"/>
      <c r="K311" s="158"/>
      <c r="L311" s="158"/>
      <c r="M311" s="158"/>
      <c r="N311" s="148"/>
      <c r="O311" s="148"/>
      <c r="P311" s="148"/>
      <c r="Q311" s="148"/>
      <c r="R311" s="148"/>
      <c r="S311" s="148"/>
      <c r="T311" s="149"/>
      <c r="U311" s="148"/>
      <c r="V311" s="140"/>
      <c r="W311" s="140"/>
      <c r="X311" s="140"/>
      <c r="Y311" s="140"/>
      <c r="Z311" s="140"/>
      <c r="AA311" s="140"/>
      <c r="AB311" s="140"/>
      <c r="AC311" s="140"/>
      <c r="AD311" s="140"/>
      <c r="AE311" s="140" t="s">
        <v>130</v>
      </c>
      <c r="AF311" s="140">
        <v>0</v>
      </c>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1" x14ac:dyDescent="0.25">
      <c r="A312" s="141">
        <v>116</v>
      </c>
      <c r="B312" s="141" t="s">
        <v>451</v>
      </c>
      <c r="C312" s="178" t="s">
        <v>452</v>
      </c>
      <c r="D312" s="147" t="s">
        <v>203</v>
      </c>
      <c r="E312" s="154">
        <v>45.85</v>
      </c>
      <c r="F312" s="157"/>
      <c r="G312" s="158">
        <f>ROUND(E312*F312,2)</f>
        <v>0</v>
      </c>
      <c r="H312" s="158"/>
      <c r="I312" s="158">
        <f>ROUND(E312*H312,2)</f>
        <v>0</v>
      </c>
      <c r="J312" s="158"/>
      <c r="K312" s="158">
        <f>ROUND(E312*J312,2)</f>
        <v>0</v>
      </c>
      <c r="L312" s="158">
        <v>21</v>
      </c>
      <c r="M312" s="158">
        <f>G312*(1+L312/100)</f>
        <v>0</v>
      </c>
      <c r="N312" s="148">
        <v>3.2000000000000003E-4</v>
      </c>
      <c r="O312" s="148">
        <f>ROUND(E312*N312,5)</f>
        <v>1.4670000000000001E-2</v>
      </c>
      <c r="P312" s="148">
        <v>0</v>
      </c>
      <c r="Q312" s="148">
        <f>ROUND(E312*P312,5)</f>
        <v>0</v>
      </c>
      <c r="R312" s="148"/>
      <c r="S312" s="148"/>
      <c r="T312" s="149">
        <v>0.23599999999999999</v>
      </c>
      <c r="U312" s="148">
        <f>ROUND(E312*T312,2)</f>
        <v>10.82</v>
      </c>
      <c r="V312" s="140"/>
      <c r="W312" s="140"/>
      <c r="X312" s="140"/>
      <c r="Y312" s="140"/>
      <c r="Z312" s="140"/>
      <c r="AA312" s="140"/>
      <c r="AB312" s="140"/>
      <c r="AC312" s="140"/>
      <c r="AD312" s="140"/>
      <c r="AE312" s="140" t="s">
        <v>128</v>
      </c>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1" x14ac:dyDescent="0.25">
      <c r="A313" s="141"/>
      <c r="B313" s="141"/>
      <c r="C313" s="179" t="s">
        <v>453</v>
      </c>
      <c r="D313" s="150"/>
      <c r="E313" s="155">
        <v>39.25</v>
      </c>
      <c r="F313" s="158"/>
      <c r="G313" s="158"/>
      <c r="H313" s="158"/>
      <c r="I313" s="158"/>
      <c r="J313" s="158"/>
      <c r="K313" s="158"/>
      <c r="L313" s="158"/>
      <c r="M313" s="158"/>
      <c r="N313" s="148"/>
      <c r="O313" s="148"/>
      <c r="P313" s="148"/>
      <c r="Q313" s="148"/>
      <c r="R313" s="148"/>
      <c r="S313" s="148"/>
      <c r="T313" s="149"/>
      <c r="U313" s="148"/>
      <c r="V313" s="140"/>
      <c r="W313" s="140"/>
      <c r="X313" s="140"/>
      <c r="Y313" s="140"/>
      <c r="Z313" s="140"/>
      <c r="AA313" s="140"/>
      <c r="AB313" s="140"/>
      <c r="AC313" s="140"/>
      <c r="AD313" s="140"/>
      <c r="AE313" s="140" t="s">
        <v>130</v>
      </c>
      <c r="AF313" s="140">
        <v>0</v>
      </c>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1" x14ac:dyDescent="0.25">
      <c r="A314" s="141"/>
      <c r="B314" s="141"/>
      <c r="C314" s="179" t="s">
        <v>454</v>
      </c>
      <c r="D314" s="150"/>
      <c r="E314" s="155">
        <v>6.6</v>
      </c>
      <c r="F314" s="158"/>
      <c r="G314" s="158"/>
      <c r="H314" s="158"/>
      <c r="I314" s="158"/>
      <c r="J314" s="158"/>
      <c r="K314" s="158"/>
      <c r="L314" s="158"/>
      <c r="M314" s="158"/>
      <c r="N314" s="148"/>
      <c r="O314" s="148"/>
      <c r="P314" s="148"/>
      <c r="Q314" s="148"/>
      <c r="R314" s="148"/>
      <c r="S314" s="148"/>
      <c r="T314" s="149"/>
      <c r="U314" s="148"/>
      <c r="V314" s="140"/>
      <c r="W314" s="140"/>
      <c r="X314" s="140"/>
      <c r="Y314" s="140"/>
      <c r="Z314" s="140"/>
      <c r="AA314" s="140"/>
      <c r="AB314" s="140"/>
      <c r="AC314" s="140"/>
      <c r="AD314" s="140"/>
      <c r="AE314" s="140" t="s">
        <v>130</v>
      </c>
      <c r="AF314" s="140">
        <v>0</v>
      </c>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1" x14ac:dyDescent="0.25">
      <c r="A315" s="141">
        <v>117</v>
      </c>
      <c r="B315" s="141" t="s">
        <v>455</v>
      </c>
      <c r="C315" s="178" t="s">
        <v>456</v>
      </c>
      <c r="D315" s="147" t="s">
        <v>203</v>
      </c>
      <c r="E315" s="154">
        <v>45.85</v>
      </c>
      <c r="F315" s="157"/>
      <c r="G315" s="158">
        <f>ROUND(E315*F315,2)</f>
        <v>0</v>
      </c>
      <c r="H315" s="158"/>
      <c r="I315" s="158">
        <f>ROUND(E315*H315,2)</f>
        <v>0</v>
      </c>
      <c r="J315" s="158"/>
      <c r="K315" s="158">
        <f>ROUND(E315*J315,2)</f>
        <v>0</v>
      </c>
      <c r="L315" s="158">
        <v>21</v>
      </c>
      <c r="M315" s="158">
        <f>G315*(1+L315/100)</f>
        <v>0</v>
      </c>
      <c r="N315" s="148">
        <v>0</v>
      </c>
      <c r="O315" s="148">
        <f>ROUND(E315*N315,5)</f>
        <v>0</v>
      </c>
      <c r="P315" s="148">
        <v>0</v>
      </c>
      <c r="Q315" s="148">
        <f>ROUND(E315*P315,5)</f>
        <v>0</v>
      </c>
      <c r="R315" s="148"/>
      <c r="S315" s="148"/>
      <c r="T315" s="149">
        <v>0.154</v>
      </c>
      <c r="U315" s="148">
        <f>ROUND(E315*T315,2)</f>
        <v>7.06</v>
      </c>
      <c r="V315" s="140"/>
      <c r="W315" s="140"/>
      <c r="X315" s="140"/>
      <c r="Y315" s="140"/>
      <c r="Z315" s="140"/>
      <c r="AA315" s="140"/>
      <c r="AB315" s="140"/>
      <c r="AC315" s="140"/>
      <c r="AD315" s="140"/>
      <c r="AE315" s="140" t="s">
        <v>128</v>
      </c>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1" x14ac:dyDescent="0.25">
      <c r="A316" s="141"/>
      <c r="B316" s="141"/>
      <c r="C316" s="179" t="s">
        <v>453</v>
      </c>
      <c r="D316" s="150"/>
      <c r="E316" s="155">
        <v>39.25</v>
      </c>
      <c r="F316" s="158"/>
      <c r="G316" s="158"/>
      <c r="H316" s="158"/>
      <c r="I316" s="158"/>
      <c r="J316" s="158"/>
      <c r="K316" s="158"/>
      <c r="L316" s="158"/>
      <c r="M316" s="158"/>
      <c r="N316" s="148"/>
      <c r="O316" s="148"/>
      <c r="P316" s="148"/>
      <c r="Q316" s="148"/>
      <c r="R316" s="148"/>
      <c r="S316" s="148"/>
      <c r="T316" s="149"/>
      <c r="U316" s="148"/>
      <c r="V316" s="140"/>
      <c r="W316" s="140"/>
      <c r="X316" s="140"/>
      <c r="Y316" s="140"/>
      <c r="Z316" s="140"/>
      <c r="AA316" s="140"/>
      <c r="AB316" s="140"/>
      <c r="AC316" s="140"/>
      <c r="AD316" s="140"/>
      <c r="AE316" s="140" t="s">
        <v>130</v>
      </c>
      <c r="AF316" s="140">
        <v>0</v>
      </c>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1" x14ac:dyDescent="0.25">
      <c r="A317" s="141"/>
      <c r="B317" s="141"/>
      <c r="C317" s="179" t="s">
        <v>454</v>
      </c>
      <c r="D317" s="150"/>
      <c r="E317" s="155">
        <v>6.6</v>
      </c>
      <c r="F317" s="158"/>
      <c r="G317" s="158"/>
      <c r="H317" s="158"/>
      <c r="I317" s="158"/>
      <c r="J317" s="158"/>
      <c r="K317" s="158"/>
      <c r="L317" s="158"/>
      <c r="M317" s="158"/>
      <c r="N317" s="148"/>
      <c r="O317" s="148"/>
      <c r="P317" s="148"/>
      <c r="Q317" s="148"/>
      <c r="R317" s="148"/>
      <c r="S317" s="148"/>
      <c r="T317" s="149"/>
      <c r="U317" s="148"/>
      <c r="V317" s="140"/>
      <c r="W317" s="140"/>
      <c r="X317" s="140"/>
      <c r="Y317" s="140"/>
      <c r="Z317" s="140"/>
      <c r="AA317" s="140"/>
      <c r="AB317" s="140"/>
      <c r="AC317" s="140"/>
      <c r="AD317" s="140"/>
      <c r="AE317" s="140" t="s">
        <v>130</v>
      </c>
      <c r="AF317" s="140">
        <v>0</v>
      </c>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1" x14ac:dyDescent="0.25">
      <c r="A318" s="141">
        <v>118</v>
      </c>
      <c r="B318" s="141" t="s">
        <v>457</v>
      </c>
      <c r="C318" s="178" t="s">
        <v>458</v>
      </c>
      <c r="D318" s="147" t="s">
        <v>139</v>
      </c>
      <c r="E318" s="154">
        <v>42.76</v>
      </c>
      <c r="F318" s="157"/>
      <c r="G318" s="158">
        <f>ROUND(E318*F318,2)</f>
        <v>0</v>
      </c>
      <c r="H318" s="158"/>
      <c r="I318" s="158">
        <f>ROUND(E318*H318,2)</f>
        <v>0</v>
      </c>
      <c r="J318" s="158"/>
      <c r="K318" s="158">
        <f>ROUND(E318*J318,2)</f>
        <v>0</v>
      </c>
      <c r="L318" s="158">
        <v>21</v>
      </c>
      <c r="M318" s="158">
        <f>G318*(1+L318/100)</f>
        <v>0</v>
      </c>
      <c r="N318" s="148">
        <v>3.81E-3</v>
      </c>
      <c r="O318" s="148">
        <f>ROUND(E318*N318,5)</f>
        <v>0.16292000000000001</v>
      </c>
      <c r="P318" s="148">
        <v>0</v>
      </c>
      <c r="Q318" s="148">
        <f>ROUND(E318*P318,5)</f>
        <v>0</v>
      </c>
      <c r="R318" s="148"/>
      <c r="S318" s="148"/>
      <c r="T318" s="149">
        <v>1.16282</v>
      </c>
      <c r="U318" s="148">
        <f>ROUND(E318*T318,2)</f>
        <v>49.72</v>
      </c>
      <c r="V318" s="140"/>
      <c r="W318" s="140"/>
      <c r="X318" s="140"/>
      <c r="Y318" s="140"/>
      <c r="Z318" s="140"/>
      <c r="AA318" s="140"/>
      <c r="AB318" s="140"/>
      <c r="AC318" s="140"/>
      <c r="AD318" s="140"/>
      <c r="AE318" s="140" t="s">
        <v>133</v>
      </c>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1" x14ac:dyDescent="0.25">
      <c r="A319" s="141"/>
      <c r="B319" s="141"/>
      <c r="C319" s="179" t="s">
        <v>158</v>
      </c>
      <c r="D319" s="150"/>
      <c r="E319" s="155">
        <v>39.85</v>
      </c>
      <c r="F319" s="158"/>
      <c r="G319" s="158"/>
      <c r="H319" s="158"/>
      <c r="I319" s="158"/>
      <c r="J319" s="158"/>
      <c r="K319" s="158"/>
      <c r="L319" s="158"/>
      <c r="M319" s="158"/>
      <c r="N319" s="148"/>
      <c r="O319" s="148"/>
      <c r="P319" s="148"/>
      <c r="Q319" s="148"/>
      <c r="R319" s="148"/>
      <c r="S319" s="148"/>
      <c r="T319" s="149"/>
      <c r="U319" s="148"/>
      <c r="V319" s="140"/>
      <c r="W319" s="140"/>
      <c r="X319" s="140"/>
      <c r="Y319" s="140"/>
      <c r="Z319" s="140"/>
      <c r="AA319" s="140"/>
      <c r="AB319" s="140"/>
      <c r="AC319" s="140"/>
      <c r="AD319" s="140"/>
      <c r="AE319" s="140" t="s">
        <v>130</v>
      </c>
      <c r="AF319" s="140">
        <v>0</v>
      </c>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1" x14ac:dyDescent="0.25">
      <c r="A320" s="141"/>
      <c r="B320" s="141"/>
      <c r="C320" s="179" t="s">
        <v>159</v>
      </c>
      <c r="D320" s="150"/>
      <c r="E320" s="155">
        <v>2.91</v>
      </c>
      <c r="F320" s="158"/>
      <c r="G320" s="158"/>
      <c r="H320" s="158"/>
      <c r="I320" s="158"/>
      <c r="J320" s="158"/>
      <c r="K320" s="158"/>
      <c r="L320" s="158"/>
      <c r="M320" s="158"/>
      <c r="N320" s="148"/>
      <c r="O320" s="148"/>
      <c r="P320" s="148"/>
      <c r="Q320" s="148"/>
      <c r="R320" s="148"/>
      <c r="S320" s="148"/>
      <c r="T320" s="149"/>
      <c r="U320" s="148"/>
      <c r="V320" s="140"/>
      <c r="W320" s="140"/>
      <c r="X320" s="140"/>
      <c r="Y320" s="140"/>
      <c r="Z320" s="140"/>
      <c r="AA320" s="140"/>
      <c r="AB320" s="140"/>
      <c r="AC320" s="140"/>
      <c r="AD320" s="140"/>
      <c r="AE320" s="140" t="s">
        <v>130</v>
      </c>
      <c r="AF320" s="140">
        <v>0</v>
      </c>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1" x14ac:dyDescent="0.25">
      <c r="A321" s="141">
        <v>119</v>
      </c>
      <c r="B321" s="141" t="s">
        <v>459</v>
      </c>
      <c r="C321" s="178" t="s">
        <v>460</v>
      </c>
      <c r="D321" s="147" t="s">
        <v>139</v>
      </c>
      <c r="E321" s="154">
        <v>52.079500000000003</v>
      </c>
      <c r="F321" s="157"/>
      <c r="G321" s="158">
        <f>ROUND(E321*F321,2)</f>
        <v>0</v>
      </c>
      <c r="H321" s="158"/>
      <c r="I321" s="158">
        <f>ROUND(E321*H321,2)</f>
        <v>0</v>
      </c>
      <c r="J321" s="158"/>
      <c r="K321" s="158">
        <f>ROUND(E321*J321,2)</f>
        <v>0</v>
      </c>
      <c r="L321" s="158">
        <v>21</v>
      </c>
      <c r="M321" s="158">
        <f>G321*(1+L321/100)</f>
        <v>0</v>
      </c>
      <c r="N321" s="148">
        <v>1.7999999999999999E-2</v>
      </c>
      <c r="O321" s="148">
        <f>ROUND(E321*N321,5)</f>
        <v>0.93742999999999999</v>
      </c>
      <c r="P321" s="148">
        <v>0</v>
      </c>
      <c r="Q321" s="148">
        <f>ROUND(E321*P321,5)</f>
        <v>0</v>
      </c>
      <c r="R321" s="148"/>
      <c r="S321" s="148"/>
      <c r="T321" s="149">
        <v>0</v>
      </c>
      <c r="U321" s="148">
        <f>ROUND(E321*T321,2)</f>
        <v>0</v>
      </c>
      <c r="V321" s="140"/>
      <c r="W321" s="140"/>
      <c r="X321" s="140"/>
      <c r="Y321" s="140"/>
      <c r="Z321" s="140"/>
      <c r="AA321" s="140"/>
      <c r="AB321" s="140"/>
      <c r="AC321" s="140"/>
      <c r="AD321" s="140"/>
      <c r="AE321" s="140" t="s">
        <v>334</v>
      </c>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1" x14ac:dyDescent="0.25">
      <c r="A322" s="141"/>
      <c r="B322" s="141"/>
      <c r="C322" s="179" t="s">
        <v>461</v>
      </c>
      <c r="D322" s="150"/>
      <c r="E322" s="155">
        <v>52.079500000000003</v>
      </c>
      <c r="F322" s="158"/>
      <c r="G322" s="158"/>
      <c r="H322" s="158"/>
      <c r="I322" s="158"/>
      <c r="J322" s="158"/>
      <c r="K322" s="158"/>
      <c r="L322" s="158"/>
      <c r="M322" s="158"/>
      <c r="N322" s="148"/>
      <c r="O322" s="148"/>
      <c r="P322" s="148"/>
      <c r="Q322" s="148"/>
      <c r="R322" s="148"/>
      <c r="S322" s="148"/>
      <c r="T322" s="149"/>
      <c r="U322" s="148"/>
      <c r="V322" s="140"/>
      <c r="W322" s="140"/>
      <c r="X322" s="140"/>
      <c r="Y322" s="140"/>
      <c r="Z322" s="140"/>
      <c r="AA322" s="140"/>
      <c r="AB322" s="140"/>
      <c r="AC322" s="140"/>
      <c r="AD322" s="140"/>
      <c r="AE322" s="140" t="s">
        <v>130</v>
      </c>
      <c r="AF322" s="140">
        <v>0</v>
      </c>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1" x14ac:dyDescent="0.25">
      <c r="A323" s="141">
        <v>120</v>
      </c>
      <c r="B323" s="141" t="s">
        <v>462</v>
      </c>
      <c r="C323" s="178" t="s">
        <v>463</v>
      </c>
      <c r="D323" s="147" t="s">
        <v>203</v>
      </c>
      <c r="E323" s="154">
        <v>91.7</v>
      </c>
      <c r="F323" s="157"/>
      <c r="G323" s="158">
        <f>ROUND(E323*F323,2)</f>
        <v>0</v>
      </c>
      <c r="H323" s="158"/>
      <c r="I323" s="158">
        <f>ROUND(E323*H323,2)</f>
        <v>0</v>
      </c>
      <c r="J323" s="158"/>
      <c r="K323" s="158">
        <f>ROUND(E323*J323,2)</f>
        <v>0</v>
      </c>
      <c r="L323" s="158">
        <v>21</v>
      </c>
      <c r="M323" s="158">
        <f>G323*(1+L323/100)</f>
        <v>0</v>
      </c>
      <c r="N323" s="148">
        <v>4.0000000000000003E-5</v>
      </c>
      <c r="O323" s="148">
        <f>ROUND(E323*N323,5)</f>
        <v>3.6700000000000001E-3</v>
      </c>
      <c r="P323" s="148">
        <v>0</v>
      </c>
      <c r="Q323" s="148">
        <f>ROUND(E323*P323,5)</f>
        <v>0</v>
      </c>
      <c r="R323" s="148"/>
      <c r="S323" s="148"/>
      <c r="T323" s="149">
        <v>7.0000000000000007E-2</v>
      </c>
      <c r="U323" s="148">
        <f>ROUND(E323*T323,2)</f>
        <v>6.42</v>
      </c>
      <c r="V323" s="140"/>
      <c r="W323" s="140"/>
      <c r="X323" s="140"/>
      <c r="Y323" s="140"/>
      <c r="Z323" s="140"/>
      <c r="AA323" s="140"/>
      <c r="AB323" s="140"/>
      <c r="AC323" s="140"/>
      <c r="AD323" s="140"/>
      <c r="AE323" s="140" t="s">
        <v>128</v>
      </c>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1" x14ac:dyDescent="0.25">
      <c r="A324" s="141"/>
      <c r="B324" s="141"/>
      <c r="C324" s="179" t="s">
        <v>464</v>
      </c>
      <c r="D324" s="150"/>
      <c r="E324" s="155">
        <v>91.7</v>
      </c>
      <c r="F324" s="158"/>
      <c r="G324" s="158"/>
      <c r="H324" s="158"/>
      <c r="I324" s="158"/>
      <c r="J324" s="158"/>
      <c r="K324" s="158"/>
      <c r="L324" s="158"/>
      <c r="M324" s="158"/>
      <c r="N324" s="148"/>
      <c r="O324" s="148"/>
      <c r="P324" s="148"/>
      <c r="Q324" s="148"/>
      <c r="R324" s="148"/>
      <c r="S324" s="148"/>
      <c r="T324" s="149"/>
      <c r="U324" s="148"/>
      <c r="V324" s="140"/>
      <c r="W324" s="140"/>
      <c r="X324" s="140"/>
      <c r="Y324" s="140"/>
      <c r="Z324" s="140"/>
      <c r="AA324" s="140"/>
      <c r="AB324" s="140"/>
      <c r="AC324" s="140"/>
      <c r="AD324" s="140"/>
      <c r="AE324" s="140" t="s">
        <v>130</v>
      </c>
      <c r="AF324" s="140">
        <v>0</v>
      </c>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1" x14ac:dyDescent="0.25">
      <c r="A325" s="141">
        <v>121</v>
      </c>
      <c r="B325" s="141" t="s">
        <v>465</v>
      </c>
      <c r="C325" s="178" t="s">
        <v>466</v>
      </c>
      <c r="D325" s="147" t="s">
        <v>203</v>
      </c>
      <c r="E325" s="154">
        <v>3.7</v>
      </c>
      <c r="F325" s="157"/>
      <c r="G325" s="158">
        <f>ROUND(E325*F325,2)</f>
        <v>0</v>
      </c>
      <c r="H325" s="158"/>
      <c r="I325" s="158">
        <f>ROUND(E325*H325,2)</f>
        <v>0</v>
      </c>
      <c r="J325" s="158"/>
      <c r="K325" s="158">
        <f>ROUND(E325*J325,2)</f>
        <v>0</v>
      </c>
      <c r="L325" s="158">
        <v>21</v>
      </c>
      <c r="M325" s="158">
        <f>G325*(1+L325/100)</f>
        <v>0</v>
      </c>
      <c r="N325" s="148">
        <v>4.4000000000000002E-4</v>
      </c>
      <c r="O325" s="148">
        <f>ROUND(E325*N325,5)</f>
        <v>1.6299999999999999E-3</v>
      </c>
      <c r="P325" s="148">
        <v>0</v>
      </c>
      <c r="Q325" s="148">
        <f>ROUND(E325*P325,5)</f>
        <v>0</v>
      </c>
      <c r="R325" s="148"/>
      <c r="S325" s="148"/>
      <c r="T325" s="149">
        <v>0.15</v>
      </c>
      <c r="U325" s="148">
        <f>ROUND(E325*T325,2)</f>
        <v>0.56000000000000005</v>
      </c>
      <c r="V325" s="140"/>
      <c r="W325" s="140"/>
      <c r="X325" s="140"/>
      <c r="Y325" s="140"/>
      <c r="Z325" s="140"/>
      <c r="AA325" s="140"/>
      <c r="AB325" s="140"/>
      <c r="AC325" s="140"/>
      <c r="AD325" s="140"/>
      <c r="AE325" s="140" t="s">
        <v>128</v>
      </c>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x14ac:dyDescent="0.25">
      <c r="A326" s="141"/>
      <c r="B326" s="141"/>
      <c r="C326" s="179" t="s">
        <v>467</v>
      </c>
      <c r="D326" s="150"/>
      <c r="E326" s="155">
        <v>3.7</v>
      </c>
      <c r="F326" s="158"/>
      <c r="G326" s="158"/>
      <c r="H326" s="158"/>
      <c r="I326" s="158"/>
      <c r="J326" s="158"/>
      <c r="K326" s="158"/>
      <c r="L326" s="158"/>
      <c r="M326" s="158"/>
      <c r="N326" s="148"/>
      <c r="O326" s="148"/>
      <c r="P326" s="148"/>
      <c r="Q326" s="148"/>
      <c r="R326" s="148"/>
      <c r="S326" s="148"/>
      <c r="T326" s="149"/>
      <c r="U326" s="148"/>
      <c r="V326" s="140"/>
      <c r="W326" s="140"/>
      <c r="X326" s="140"/>
      <c r="Y326" s="140"/>
      <c r="Z326" s="140"/>
      <c r="AA326" s="140"/>
      <c r="AB326" s="140"/>
      <c r="AC326" s="140"/>
      <c r="AD326" s="140"/>
      <c r="AE326" s="140" t="s">
        <v>130</v>
      </c>
      <c r="AF326" s="140">
        <v>0</v>
      </c>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1" x14ac:dyDescent="0.25">
      <c r="A327" s="141">
        <v>122</v>
      </c>
      <c r="B327" s="141" t="s">
        <v>468</v>
      </c>
      <c r="C327" s="178" t="s">
        <v>469</v>
      </c>
      <c r="D327" s="147" t="s">
        <v>154</v>
      </c>
      <c r="E327" s="154">
        <v>1.1293</v>
      </c>
      <c r="F327" s="157"/>
      <c r="G327" s="158">
        <f>ROUND(E327*F327,2)</f>
        <v>0</v>
      </c>
      <c r="H327" s="158"/>
      <c r="I327" s="158">
        <f>ROUND(E327*H327,2)</f>
        <v>0</v>
      </c>
      <c r="J327" s="158"/>
      <c r="K327" s="158">
        <f>ROUND(E327*J327,2)</f>
        <v>0</v>
      </c>
      <c r="L327" s="158">
        <v>21</v>
      </c>
      <c r="M327" s="158">
        <f>G327*(1+L327/100)</f>
        <v>0</v>
      </c>
      <c r="N327" s="148">
        <v>0</v>
      </c>
      <c r="O327" s="148">
        <f>ROUND(E327*N327,5)</f>
        <v>0</v>
      </c>
      <c r="P327" s="148">
        <v>0</v>
      </c>
      <c r="Q327" s="148">
        <f>ROUND(E327*P327,5)</f>
        <v>0</v>
      </c>
      <c r="R327" s="148"/>
      <c r="S327" s="148"/>
      <c r="T327" s="149">
        <v>1.5980000000000001</v>
      </c>
      <c r="U327" s="148">
        <f>ROUND(E327*T327,2)</f>
        <v>1.8</v>
      </c>
      <c r="V327" s="140"/>
      <c r="W327" s="140"/>
      <c r="X327" s="140"/>
      <c r="Y327" s="140"/>
      <c r="Z327" s="140"/>
      <c r="AA327" s="140"/>
      <c r="AB327" s="140"/>
      <c r="AC327" s="140"/>
      <c r="AD327" s="140"/>
      <c r="AE327" s="140" t="s">
        <v>128</v>
      </c>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x14ac:dyDescent="0.25">
      <c r="A328" s="142" t="s">
        <v>123</v>
      </c>
      <c r="B328" s="142" t="s">
        <v>86</v>
      </c>
      <c r="C328" s="180" t="s">
        <v>87</v>
      </c>
      <c r="D328" s="151"/>
      <c r="E328" s="156"/>
      <c r="F328" s="159"/>
      <c r="G328" s="159">
        <f>SUMIF(AE329:AE345,"&lt;&gt;NOR",G329:G345)</f>
        <v>0</v>
      </c>
      <c r="H328" s="159"/>
      <c r="I328" s="159">
        <f>SUM(I329:I345)</f>
        <v>0</v>
      </c>
      <c r="J328" s="159"/>
      <c r="K328" s="159">
        <f>SUM(K329:K345)</f>
        <v>0</v>
      </c>
      <c r="L328" s="159"/>
      <c r="M328" s="159">
        <f>SUM(M329:M345)</f>
        <v>0</v>
      </c>
      <c r="N328" s="152"/>
      <c r="O328" s="152">
        <f>SUM(O329:O345)</f>
        <v>1.5460400000000001</v>
      </c>
      <c r="P328" s="152"/>
      <c r="Q328" s="152">
        <f>SUM(Q329:Q345)</f>
        <v>0</v>
      </c>
      <c r="R328" s="152"/>
      <c r="S328" s="152"/>
      <c r="T328" s="153"/>
      <c r="U328" s="152">
        <f>SUM(U329:U345)</f>
        <v>140.75</v>
      </c>
      <c r="AE328" t="s">
        <v>124</v>
      </c>
    </row>
    <row r="329" spans="1:60" outlineLevel="1" x14ac:dyDescent="0.25">
      <c r="A329" s="141">
        <v>123</v>
      </c>
      <c r="B329" s="141" t="s">
        <v>470</v>
      </c>
      <c r="C329" s="178" t="s">
        <v>471</v>
      </c>
      <c r="D329" s="147" t="s">
        <v>139</v>
      </c>
      <c r="E329" s="154">
        <v>106.31</v>
      </c>
      <c r="F329" s="157"/>
      <c r="G329" s="158">
        <f>ROUND(E329*F329,2)</f>
        <v>0</v>
      </c>
      <c r="H329" s="158"/>
      <c r="I329" s="158">
        <f>ROUND(E329*H329,2)</f>
        <v>0</v>
      </c>
      <c r="J329" s="158"/>
      <c r="K329" s="158">
        <f>ROUND(E329*J329,2)</f>
        <v>0</v>
      </c>
      <c r="L329" s="158">
        <v>21</v>
      </c>
      <c r="M329" s="158">
        <f>G329*(1+L329/100)</f>
        <v>0</v>
      </c>
      <c r="N329" s="148">
        <v>1.035E-2</v>
      </c>
      <c r="O329" s="148">
        <f>ROUND(E329*N329,5)</f>
        <v>1.1003099999999999</v>
      </c>
      <c r="P329" s="148">
        <v>0</v>
      </c>
      <c r="Q329" s="148">
        <f>ROUND(E329*P329,5)</f>
        <v>0</v>
      </c>
      <c r="R329" s="148"/>
      <c r="S329" s="148"/>
      <c r="T329" s="149">
        <v>0.35149999999999998</v>
      </c>
      <c r="U329" s="148">
        <f>ROUND(E329*T329,2)</f>
        <v>37.369999999999997</v>
      </c>
      <c r="V329" s="140"/>
      <c r="W329" s="140"/>
      <c r="X329" s="140"/>
      <c r="Y329" s="140"/>
      <c r="Z329" s="140"/>
      <c r="AA329" s="140"/>
      <c r="AB329" s="140"/>
      <c r="AC329" s="140"/>
      <c r="AD329" s="140"/>
      <c r="AE329" s="140" t="s">
        <v>128</v>
      </c>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1" x14ac:dyDescent="0.25">
      <c r="A330" s="141"/>
      <c r="B330" s="141"/>
      <c r="C330" s="179" t="s">
        <v>472</v>
      </c>
      <c r="D330" s="150"/>
      <c r="E330" s="155">
        <v>106.31</v>
      </c>
      <c r="F330" s="158"/>
      <c r="G330" s="158"/>
      <c r="H330" s="158"/>
      <c r="I330" s="158"/>
      <c r="J330" s="158"/>
      <c r="K330" s="158"/>
      <c r="L330" s="158"/>
      <c r="M330" s="158"/>
      <c r="N330" s="148"/>
      <c r="O330" s="148"/>
      <c r="P330" s="148"/>
      <c r="Q330" s="148"/>
      <c r="R330" s="148"/>
      <c r="S330" s="148"/>
      <c r="T330" s="149"/>
      <c r="U330" s="148"/>
      <c r="V330" s="140"/>
      <c r="W330" s="140"/>
      <c r="X330" s="140"/>
      <c r="Y330" s="140"/>
      <c r="Z330" s="140"/>
      <c r="AA330" s="140"/>
      <c r="AB330" s="140"/>
      <c r="AC330" s="140"/>
      <c r="AD330" s="140"/>
      <c r="AE330" s="140" t="s">
        <v>130</v>
      </c>
      <c r="AF330" s="140">
        <v>0</v>
      </c>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t="20" outlineLevel="1" x14ac:dyDescent="0.25">
      <c r="A331" s="141">
        <v>124</v>
      </c>
      <c r="B331" s="141" t="s">
        <v>473</v>
      </c>
      <c r="C331" s="178" t="s">
        <v>474</v>
      </c>
      <c r="D331" s="147" t="s">
        <v>139</v>
      </c>
      <c r="E331" s="154">
        <v>106.31</v>
      </c>
      <c r="F331" s="157"/>
      <c r="G331" s="158">
        <f>ROUND(E331*F331,2)</f>
        <v>0</v>
      </c>
      <c r="H331" s="158"/>
      <c r="I331" s="158">
        <f>ROUND(E331*H331,2)</f>
        <v>0</v>
      </c>
      <c r="J331" s="158"/>
      <c r="K331" s="158">
        <f>ROUND(E331*J331,2)</f>
        <v>0</v>
      </c>
      <c r="L331" s="158">
        <v>21</v>
      </c>
      <c r="M331" s="158">
        <f>G331*(1+L331/100)</f>
        <v>0</v>
      </c>
      <c r="N331" s="148">
        <v>4.0000000000000002E-4</v>
      </c>
      <c r="O331" s="148">
        <f>ROUND(E331*N331,5)</f>
        <v>4.2520000000000002E-2</v>
      </c>
      <c r="P331" s="148">
        <v>0</v>
      </c>
      <c r="Q331" s="148">
        <f>ROUND(E331*P331,5)</f>
        <v>0</v>
      </c>
      <c r="R331" s="148"/>
      <c r="S331" s="148"/>
      <c r="T331" s="149">
        <v>0.65583999999999998</v>
      </c>
      <c r="U331" s="148">
        <f>ROUND(E331*T331,2)</f>
        <v>69.72</v>
      </c>
      <c r="V331" s="140"/>
      <c r="W331" s="140"/>
      <c r="X331" s="140"/>
      <c r="Y331" s="140"/>
      <c r="Z331" s="140"/>
      <c r="AA331" s="140"/>
      <c r="AB331" s="140"/>
      <c r="AC331" s="140"/>
      <c r="AD331" s="140"/>
      <c r="AE331" s="140" t="s">
        <v>133</v>
      </c>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1" x14ac:dyDescent="0.25">
      <c r="A332" s="141"/>
      <c r="B332" s="141"/>
      <c r="C332" s="179" t="s">
        <v>472</v>
      </c>
      <c r="D332" s="150"/>
      <c r="E332" s="155">
        <v>106.31</v>
      </c>
      <c r="F332" s="158"/>
      <c r="G332" s="158"/>
      <c r="H332" s="158"/>
      <c r="I332" s="158"/>
      <c r="J332" s="158"/>
      <c r="K332" s="158"/>
      <c r="L332" s="158"/>
      <c r="M332" s="158"/>
      <c r="N332" s="148"/>
      <c r="O332" s="148"/>
      <c r="P332" s="148"/>
      <c r="Q332" s="148"/>
      <c r="R332" s="148"/>
      <c r="S332" s="148"/>
      <c r="T332" s="149"/>
      <c r="U332" s="148"/>
      <c r="V332" s="140"/>
      <c r="W332" s="140"/>
      <c r="X332" s="140"/>
      <c r="Y332" s="140"/>
      <c r="Z332" s="140"/>
      <c r="AA332" s="140"/>
      <c r="AB332" s="140"/>
      <c r="AC332" s="140"/>
      <c r="AD332" s="140"/>
      <c r="AE332" s="140" t="s">
        <v>130</v>
      </c>
      <c r="AF332" s="140">
        <v>0</v>
      </c>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1" x14ac:dyDescent="0.25">
      <c r="A333" s="141">
        <v>125</v>
      </c>
      <c r="B333" s="141" t="s">
        <v>475</v>
      </c>
      <c r="C333" s="178" t="s">
        <v>476</v>
      </c>
      <c r="D333" s="147" t="s">
        <v>139</v>
      </c>
      <c r="E333" s="154">
        <v>123.696</v>
      </c>
      <c r="F333" s="157"/>
      <c r="G333" s="158">
        <f>ROUND(E333*F333,2)</f>
        <v>0</v>
      </c>
      <c r="H333" s="158"/>
      <c r="I333" s="158">
        <f>ROUND(E333*H333,2)</f>
        <v>0</v>
      </c>
      <c r="J333" s="158"/>
      <c r="K333" s="158">
        <f>ROUND(E333*J333,2)</f>
        <v>0</v>
      </c>
      <c r="L333" s="158">
        <v>21</v>
      </c>
      <c r="M333" s="158">
        <f>G333*(1+L333/100)</f>
        <v>0</v>
      </c>
      <c r="N333" s="148">
        <v>3.0000000000000001E-3</v>
      </c>
      <c r="O333" s="148">
        <f>ROUND(E333*N333,5)</f>
        <v>0.37108999999999998</v>
      </c>
      <c r="P333" s="148">
        <v>0</v>
      </c>
      <c r="Q333" s="148">
        <f>ROUND(E333*P333,5)</f>
        <v>0</v>
      </c>
      <c r="R333" s="148"/>
      <c r="S333" s="148"/>
      <c r="T333" s="149">
        <v>0</v>
      </c>
      <c r="U333" s="148">
        <f>ROUND(E333*T333,2)</f>
        <v>0</v>
      </c>
      <c r="V333" s="140"/>
      <c r="W333" s="140"/>
      <c r="X333" s="140"/>
      <c r="Y333" s="140"/>
      <c r="Z333" s="140"/>
      <c r="AA333" s="140"/>
      <c r="AB333" s="140"/>
      <c r="AC333" s="140"/>
      <c r="AD333" s="140"/>
      <c r="AE333" s="140" t="s">
        <v>334</v>
      </c>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x14ac:dyDescent="0.25">
      <c r="A334" s="141"/>
      <c r="B334" s="141"/>
      <c r="C334" s="179" t="s">
        <v>477</v>
      </c>
      <c r="D334" s="150"/>
      <c r="E334" s="155">
        <v>123.696</v>
      </c>
      <c r="F334" s="158"/>
      <c r="G334" s="158"/>
      <c r="H334" s="158"/>
      <c r="I334" s="158"/>
      <c r="J334" s="158"/>
      <c r="K334" s="158"/>
      <c r="L334" s="158"/>
      <c r="M334" s="158"/>
      <c r="N334" s="148"/>
      <c r="O334" s="148"/>
      <c r="P334" s="148"/>
      <c r="Q334" s="148"/>
      <c r="R334" s="148"/>
      <c r="S334" s="148"/>
      <c r="T334" s="149"/>
      <c r="U334" s="148"/>
      <c r="V334" s="140"/>
      <c r="W334" s="140"/>
      <c r="X334" s="140"/>
      <c r="Y334" s="140"/>
      <c r="Z334" s="140"/>
      <c r="AA334" s="140"/>
      <c r="AB334" s="140"/>
      <c r="AC334" s="140"/>
      <c r="AD334" s="140"/>
      <c r="AE334" s="140" t="s">
        <v>130</v>
      </c>
      <c r="AF334" s="140">
        <v>0</v>
      </c>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1" x14ac:dyDescent="0.25">
      <c r="A335" s="141">
        <v>126</v>
      </c>
      <c r="B335" s="141" t="s">
        <v>478</v>
      </c>
      <c r="C335" s="178" t="s">
        <v>479</v>
      </c>
      <c r="D335" s="147" t="s">
        <v>139</v>
      </c>
      <c r="E335" s="154">
        <v>4.8449999999999998</v>
      </c>
      <c r="F335" s="157"/>
      <c r="G335" s="158">
        <f>ROUND(E335*F335,2)</f>
        <v>0</v>
      </c>
      <c r="H335" s="158"/>
      <c r="I335" s="158">
        <f>ROUND(E335*H335,2)</f>
        <v>0</v>
      </c>
      <c r="J335" s="158"/>
      <c r="K335" s="158">
        <f>ROUND(E335*J335,2)</f>
        <v>0</v>
      </c>
      <c r="L335" s="158">
        <v>21</v>
      </c>
      <c r="M335" s="158">
        <f>G335*(1+L335/100)</f>
        <v>0</v>
      </c>
      <c r="N335" s="148">
        <v>3.0000000000000001E-3</v>
      </c>
      <c r="O335" s="148">
        <f>ROUND(E335*N335,5)</f>
        <v>1.4540000000000001E-2</v>
      </c>
      <c r="P335" s="148">
        <v>0</v>
      </c>
      <c r="Q335" s="148">
        <f>ROUND(E335*P335,5)</f>
        <v>0</v>
      </c>
      <c r="R335" s="148"/>
      <c r="S335" s="148"/>
      <c r="T335" s="149">
        <v>0</v>
      </c>
      <c r="U335" s="148">
        <f>ROUND(E335*T335,2)</f>
        <v>0</v>
      </c>
      <c r="V335" s="140"/>
      <c r="W335" s="140"/>
      <c r="X335" s="140"/>
      <c r="Y335" s="140"/>
      <c r="Z335" s="140"/>
      <c r="AA335" s="140"/>
      <c r="AB335" s="140"/>
      <c r="AC335" s="140"/>
      <c r="AD335" s="140"/>
      <c r="AE335" s="140" t="s">
        <v>334</v>
      </c>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1" x14ac:dyDescent="0.25">
      <c r="A336" s="141"/>
      <c r="B336" s="141"/>
      <c r="C336" s="179" t="s">
        <v>480</v>
      </c>
      <c r="D336" s="150"/>
      <c r="E336" s="155">
        <v>4.8449999999999998</v>
      </c>
      <c r="F336" s="158"/>
      <c r="G336" s="158"/>
      <c r="H336" s="158"/>
      <c r="I336" s="158"/>
      <c r="J336" s="158"/>
      <c r="K336" s="158"/>
      <c r="L336" s="158"/>
      <c r="M336" s="158"/>
      <c r="N336" s="148"/>
      <c r="O336" s="148"/>
      <c r="P336" s="148"/>
      <c r="Q336" s="148"/>
      <c r="R336" s="148"/>
      <c r="S336" s="148"/>
      <c r="T336" s="149"/>
      <c r="U336" s="148"/>
      <c r="V336" s="140"/>
      <c r="W336" s="140"/>
      <c r="X336" s="140"/>
      <c r="Y336" s="140"/>
      <c r="Z336" s="140"/>
      <c r="AA336" s="140"/>
      <c r="AB336" s="140"/>
      <c r="AC336" s="140"/>
      <c r="AD336" s="140"/>
      <c r="AE336" s="140" t="s">
        <v>130</v>
      </c>
      <c r="AF336" s="140">
        <v>0</v>
      </c>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1" x14ac:dyDescent="0.25">
      <c r="A337" s="141">
        <v>127</v>
      </c>
      <c r="B337" s="141" t="s">
        <v>481</v>
      </c>
      <c r="C337" s="178" t="s">
        <v>482</v>
      </c>
      <c r="D337" s="147" t="s">
        <v>203</v>
      </c>
      <c r="E337" s="154">
        <v>105.88</v>
      </c>
      <c r="F337" s="157"/>
      <c r="G337" s="158">
        <f>ROUND(E337*F337,2)</f>
        <v>0</v>
      </c>
      <c r="H337" s="158"/>
      <c r="I337" s="158">
        <f>ROUND(E337*H337,2)</f>
        <v>0</v>
      </c>
      <c r="J337" s="158"/>
      <c r="K337" s="158">
        <f>ROUND(E337*J337,2)</f>
        <v>0</v>
      </c>
      <c r="L337" s="158">
        <v>21</v>
      </c>
      <c r="M337" s="158">
        <f>G337*(1+L337/100)</f>
        <v>0</v>
      </c>
      <c r="N337" s="148">
        <v>6.0000000000000002E-5</v>
      </c>
      <c r="O337" s="148">
        <f>ROUND(E337*N337,5)</f>
        <v>6.3499999999999997E-3</v>
      </c>
      <c r="P337" s="148">
        <v>0</v>
      </c>
      <c r="Q337" s="148">
        <f>ROUND(E337*P337,5)</f>
        <v>0</v>
      </c>
      <c r="R337" s="148"/>
      <c r="S337" s="148"/>
      <c r="T337" s="149">
        <v>0.152</v>
      </c>
      <c r="U337" s="148">
        <f>ROUND(E337*T337,2)</f>
        <v>16.09</v>
      </c>
      <c r="V337" s="140"/>
      <c r="W337" s="140"/>
      <c r="X337" s="140"/>
      <c r="Y337" s="140"/>
      <c r="Z337" s="140"/>
      <c r="AA337" s="140"/>
      <c r="AB337" s="140"/>
      <c r="AC337" s="140"/>
      <c r="AD337" s="140"/>
      <c r="AE337" s="140" t="s">
        <v>128</v>
      </c>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1" x14ac:dyDescent="0.25">
      <c r="A338" s="141"/>
      <c r="B338" s="141"/>
      <c r="C338" s="179" t="s">
        <v>483</v>
      </c>
      <c r="D338" s="150"/>
      <c r="E338" s="155">
        <v>79.38</v>
      </c>
      <c r="F338" s="158"/>
      <c r="G338" s="158"/>
      <c r="H338" s="158"/>
      <c r="I338" s="158"/>
      <c r="J338" s="158"/>
      <c r="K338" s="158"/>
      <c r="L338" s="158"/>
      <c r="M338" s="158"/>
      <c r="N338" s="148"/>
      <c r="O338" s="148"/>
      <c r="P338" s="148"/>
      <c r="Q338" s="148"/>
      <c r="R338" s="148"/>
      <c r="S338" s="148"/>
      <c r="T338" s="149"/>
      <c r="U338" s="148"/>
      <c r="V338" s="140"/>
      <c r="W338" s="140"/>
      <c r="X338" s="140"/>
      <c r="Y338" s="140"/>
      <c r="Z338" s="140"/>
      <c r="AA338" s="140"/>
      <c r="AB338" s="140"/>
      <c r="AC338" s="140"/>
      <c r="AD338" s="140"/>
      <c r="AE338" s="140" t="s">
        <v>130</v>
      </c>
      <c r="AF338" s="140">
        <v>0</v>
      </c>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1" x14ac:dyDescent="0.25">
      <c r="A339" s="141"/>
      <c r="B339" s="141"/>
      <c r="C339" s="179" t="s">
        <v>484</v>
      </c>
      <c r="D339" s="150"/>
      <c r="E339" s="155">
        <v>41.3</v>
      </c>
      <c r="F339" s="158"/>
      <c r="G339" s="158"/>
      <c r="H339" s="158"/>
      <c r="I339" s="158"/>
      <c r="J339" s="158"/>
      <c r="K339" s="158"/>
      <c r="L339" s="158"/>
      <c r="M339" s="158"/>
      <c r="N339" s="148"/>
      <c r="O339" s="148"/>
      <c r="P339" s="148"/>
      <c r="Q339" s="148"/>
      <c r="R339" s="148"/>
      <c r="S339" s="148"/>
      <c r="T339" s="149"/>
      <c r="U339" s="148"/>
      <c r="V339" s="140"/>
      <c r="W339" s="140"/>
      <c r="X339" s="140"/>
      <c r="Y339" s="140"/>
      <c r="Z339" s="140"/>
      <c r="AA339" s="140"/>
      <c r="AB339" s="140"/>
      <c r="AC339" s="140"/>
      <c r="AD339" s="140"/>
      <c r="AE339" s="140" t="s">
        <v>130</v>
      </c>
      <c r="AF339" s="140">
        <v>0</v>
      </c>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x14ac:dyDescent="0.25">
      <c r="A340" s="141"/>
      <c r="B340" s="141"/>
      <c r="C340" s="179" t="s">
        <v>485</v>
      </c>
      <c r="D340" s="150"/>
      <c r="E340" s="155">
        <v>-14.8</v>
      </c>
      <c r="F340" s="158"/>
      <c r="G340" s="158"/>
      <c r="H340" s="158"/>
      <c r="I340" s="158"/>
      <c r="J340" s="158"/>
      <c r="K340" s="158"/>
      <c r="L340" s="158"/>
      <c r="M340" s="158"/>
      <c r="N340" s="148"/>
      <c r="O340" s="148"/>
      <c r="P340" s="148"/>
      <c r="Q340" s="148"/>
      <c r="R340" s="148"/>
      <c r="S340" s="148"/>
      <c r="T340" s="149"/>
      <c r="U340" s="148"/>
      <c r="V340" s="140"/>
      <c r="W340" s="140"/>
      <c r="X340" s="140"/>
      <c r="Y340" s="140"/>
      <c r="Z340" s="140"/>
      <c r="AA340" s="140"/>
      <c r="AB340" s="140"/>
      <c r="AC340" s="140"/>
      <c r="AD340" s="140"/>
      <c r="AE340" s="140" t="s">
        <v>130</v>
      </c>
      <c r="AF340" s="140">
        <v>0</v>
      </c>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1" x14ac:dyDescent="0.25">
      <c r="A341" s="141">
        <v>128</v>
      </c>
      <c r="B341" s="141" t="s">
        <v>486</v>
      </c>
      <c r="C341" s="178" t="s">
        <v>487</v>
      </c>
      <c r="D341" s="147" t="s">
        <v>203</v>
      </c>
      <c r="E341" s="154">
        <v>116.468</v>
      </c>
      <c r="F341" s="157"/>
      <c r="G341" s="158">
        <f>ROUND(E341*F341,2)</f>
        <v>0</v>
      </c>
      <c r="H341" s="158"/>
      <c r="I341" s="158">
        <f>ROUND(E341*H341,2)</f>
        <v>0</v>
      </c>
      <c r="J341" s="158"/>
      <c r="K341" s="158">
        <f>ROUND(E341*J341,2)</f>
        <v>0</v>
      </c>
      <c r="L341" s="158">
        <v>21</v>
      </c>
      <c r="M341" s="158">
        <f>G341*(1+L341/100)</f>
        <v>0</v>
      </c>
      <c r="N341" s="148">
        <v>6.0000000000000002E-5</v>
      </c>
      <c r="O341" s="148">
        <f>ROUND(E341*N341,5)</f>
        <v>6.9899999999999997E-3</v>
      </c>
      <c r="P341" s="148">
        <v>0</v>
      </c>
      <c r="Q341" s="148">
        <f>ROUND(E341*P341,5)</f>
        <v>0</v>
      </c>
      <c r="R341" s="148"/>
      <c r="S341" s="148"/>
      <c r="T341" s="149">
        <v>0</v>
      </c>
      <c r="U341" s="148">
        <f>ROUND(E341*T341,2)</f>
        <v>0</v>
      </c>
      <c r="V341" s="140"/>
      <c r="W341" s="140"/>
      <c r="X341" s="140"/>
      <c r="Y341" s="140"/>
      <c r="Z341" s="140"/>
      <c r="AA341" s="140"/>
      <c r="AB341" s="140"/>
      <c r="AC341" s="140"/>
      <c r="AD341" s="140"/>
      <c r="AE341" s="140" t="s">
        <v>334</v>
      </c>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x14ac:dyDescent="0.25">
      <c r="A342" s="141"/>
      <c r="B342" s="141"/>
      <c r="C342" s="179" t="s">
        <v>488</v>
      </c>
      <c r="D342" s="150"/>
      <c r="E342" s="155">
        <v>116.468</v>
      </c>
      <c r="F342" s="158"/>
      <c r="G342" s="158"/>
      <c r="H342" s="158"/>
      <c r="I342" s="158"/>
      <c r="J342" s="158"/>
      <c r="K342" s="158"/>
      <c r="L342" s="158"/>
      <c r="M342" s="158"/>
      <c r="N342" s="148"/>
      <c r="O342" s="148"/>
      <c r="P342" s="148"/>
      <c r="Q342" s="148"/>
      <c r="R342" s="148"/>
      <c r="S342" s="148"/>
      <c r="T342" s="149"/>
      <c r="U342" s="148"/>
      <c r="V342" s="140"/>
      <c r="W342" s="140"/>
      <c r="X342" s="140"/>
      <c r="Y342" s="140"/>
      <c r="Z342" s="140"/>
      <c r="AA342" s="140"/>
      <c r="AB342" s="140"/>
      <c r="AC342" s="140"/>
      <c r="AD342" s="140"/>
      <c r="AE342" s="140" t="s">
        <v>130</v>
      </c>
      <c r="AF342" s="140">
        <v>0</v>
      </c>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1" x14ac:dyDescent="0.25">
      <c r="A343" s="141">
        <v>129</v>
      </c>
      <c r="B343" s="141" t="s">
        <v>462</v>
      </c>
      <c r="C343" s="178" t="s">
        <v>489</v>
      </c>
      <c r="D343" s="147" t="s">
        <v>203</v>
      </c>
      <c r="E343" s="154">
        <v>105.88</v>
      </c>
      <c r="F343" s="157"/>
      <c r="G343" s="158">
        <f>ROUND(E343*F343,2)</f>
        <v>0</v>
      </c>
      <c r="H343" s="158"/>
      <c r="I343" s="158">
        <f>ROUND(E343*H343,2)</f>
        <v>0</v>
      </c>
      <c r="J343" s="158"/>
      <c r="K343" s="158">
        <f>ROUND(E343*J343,2)</f>
        <v>0</v>
      </c>
      <c r="L343" s="158">
        <v>21</v>
      </c>
      <c r="M343" s="158">
        <f>G343*(1+L343/100)</f>
        <v>0</v>
      </c>
      <c r="N343" s="148">
        <v>4.0000000000000003E-5</v>
      </c>
      <c r="O343" s="148">
        <f>ROUND(E343*N343,5)</f>
        <v>4.2399999999999998E-3</v>
      </c>
      <c r="P343" s="148">
        <v>0</v>
      </c>
      <c r="Q343" s="148">
        <f>ROUND(E343*P343,5)</f>
        <v>0</v>
      </c>
      <c r="R343" s="148"/>
      <c r="S343" s="148"/>
      <c r="T343" s="149">
        <v>0.15</v>
      </c>
      <c r="U343" s="148">
        <f>ROUND(E343*T343,2)</f>
        <v>15.88</v>
      </c>
      <c r="V343" s="140"/>
      <c r="W343" s="140"/>
      <c r="X343" s="140"/>
      <c r="Y343" s="140"/>
      <c r="Z343" s="140"/>
      <c r="AA343" s="140"/>
      <c r="AB343" s="140"/>
      <c r="AC343" s="140"/>
      <c r="AD343" s="140"/>
      <c r="AE343" s="140" t="s">
        <v>128</v>
      </c>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1" x14ac:dyDescent="0.25">
      <c r="A344" s="141"/>
      <c r="B344" s="141"/>
      <c r="C344" s="179" t="s">
        <v>490</v>
      </c>
      <c r="D344" s="150"/>
      <c r="E344" s="155">
        <v>105.88</v>
      </c>
      <c r="F344" s="158"/>
      <c r="G344" s="158"/>
      <c r="H344" s="158"/>
      <c r="I344" s="158"/>
      <c r="J344" s="158"/>
      <c r="K344" s="158"/>
      <c r="L344" s="158"/>
      <c r="M344" s="158"/>
      <c r="N344" s="148"/>
      <c r="O344" s="148"/>
      <c r="P344" s="148"/>
      <c r="Q344" s="148"/>
      <c r="R344" s="148"/>
      <c r="S344" s="148"/>
      <c r="T344" s="149"/>
      <c r="U344" s="148"/>
      <c r="V344" s="140"/>
      <c r="W344" s="140"/>
      <c r="X344" s="140"/>
      <c r="Y344" s="140"/>
      <c r="Z344" s="140"/>
      <c r="AA344" s="140"/>
      <c r="AB344" s="140"/>
      <c r="AC344" s="140"/>
      <c r="AD344" s="140"/>
      <c r="AE344" s="140" t="s">
        <v>130</v>
      </c>
      <c r="AF344" s="140">
        <v>0</v>
      </c>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1" x14ac:dyDescent="0.25">
      <c r="A345" s="141">
        <v>130</v>
      </c>
      <c r="B345" s="141" t="s">
        <v>491</v>
      </c>
      <c r="C345" s="178" t="s">
        <v>492</v>
      </c>
      <c r="D345" s="147" t="s">
        <v>154</v>
      </c>
      <c r="E345" s="154">
        <v>1.5460400000000001</v>
      </c>
      <c r="F345" s="157"/>
      <c r="G345" s="158">
        <f>ROUND(E345*F345,2)</f>
        <v>0</v>
      </c>
      <c r="H345" s="158"/>
      <c r="I345" s="158">
        <f>ROUND(E345*H345,2)</f>
        <v>0</v>
      </c>
      <c r="J345" s="158"/>
      <c r="K345" s="158">
        <f>ROUND(E345*J345,2)</f>
        <v>0</v>
      </c>
      <c r="L345" s="158">
        <v>21</v>
      </c>
      <c r="M345" s="158">
        <f>G345*(1+L345/100)</f>
        <v>0</v>
      </c>
      <c r="N345" s="148">
        <v>0</v>
      </c>
      <c r="O345" s="148">
        <f>ROUND(E345*N345,5)</f>
        <v>0</v>
      </c>
      <c r="P345" s="148">
        <v>0</v>
      </c>
      <c r="Q345" s="148">
        <f>ROUND(E345*P345,5)</f>
        <v>0</v>
      </c>
      <c r="R345" s="148"/>
      <c r="S345" s="148"/>
      <c r="T345" s="149">
        <v>1.091</v>
      </c>
      <c r="U345" s="148">
        <f>ROUND(E345*T345,2)</f>
        <v>1.69</v>
      </c>
      <c r="V345" s="140"/>
      <c r="W345" s="140"/>
      <c r="X345" s="140"/>
      <c r="Y345" s="140"/>
      <c r="Z345" s="140"/>
      <c r="AA345" s="140"/>
      <c r="AB345" s="140"/>
      <c r="AC345" s="140"/>
      <c r="AD345" s="140"/>
      <c r="AE345" s="140" t="s">
        <v>128</v>
      </c>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x14ac:dyDescent="0.25">
      <c r="A346" s="142" t="s">
        <v>123</v>
      </c>
      <c r="B346" s="142" t="s">
        <v>88</v>
      </c>
      <c r="C346" s="180" t="s">
        <v>89</v>
      </c>
      <c r="D346" s="151"/>
      <c r="E346" s="156"/>
      <c r="F346" s="159"/>
      <c r="G346" s="159">
        <f>SUMIF(AE347:AE361,"&lt;&gt;NOR",G347:G361)</f>
        <v>0</v>
      </c>
      <c r="H346" s="159"/>
      <c r="I346" s="159">
        <f>SUM(I347:I361)</f>
        <v>0</v>
      </c>
      <c r="J346" s="159"/>
      <c r="K346" s="159">
        <f>SUM(K347:K361)</f>
        <v>0</v>
      </c>
      <c r="L346" s="159"/>
      <c r="M346" s="159">
        <f>SUM(M347:M361)</f>
        <v>0</v>
      </c>
      <c r="N346" s="152"/>
      <c r="O346" s="152">
        <f>SUM(O347:O361)</f>
        <v>1.08883</v>
      </c>
      <c r="P346" s="152"/>
      <c r="Q346" s="152">
        <f>SUM(Q347:Q361)</f>
        <v>0</v>
      </c>
      <c r="R346" s="152"/>
      <c r="S346" s="152"/>
      <c r="T346" s="153"/>
      <c r="U346" s="152">
        <f>SUM(U347:U361)</f>
        <v>82.679999999999993</v>
      </c>
      <c r="AE346" t="s">
        <v>124</v>
      </c>
    </row>
    <row r="347" spans="1:60" outlineLevel="1" x14ac:dyDescent="0.25">
      <c r="A347" s="141">
        <v>131</v>
      </c>
      <c r="B347" s="141" t="s">
        <v>493</v>
      </c>
      <c r="C347" s="178" t="s">
        <v>494</v>
      </c>
      <c r="D347" s="147" t="s">
        <v>139</v>
      </c>
      <c r="E347" s="154">
        <v>61.408999999999999</v>
      </c>
      <c r="F347" s="157"/>
      <c r="G347" s="158">
        <f>ROUND(E347*F347,2)</f>
        <v>0</v>
      </c>
      <c r="H347" s="158"/>
      <c r="I347" s="158">
        <f>ROUND(E347*H347,2)</f>
        <v>0</v>
      </c>
      <c r="J347" s="158"/>
      <c r="K347" s="158">
        <f>ROUND(E347*J347,2)</f>
        <v>0</v>
      </c>
      <c r="L347" s="158">
        <v>21</v>
      </c>
      <c r="M347" s="158">
        <f>G347*(1+L347/100)</f>
        <v>0</v>
      </c>
      <c r="N347" s="148">
        <v>2.1000000000000001E-4</v>
      </c>
      <c r="O347" s="148">
        <f>ROUND(E347*N347,5)</f>
        <v>1.29E-2</v>
      </c>
      <c r="P347" s="148">
        <v>0</v>
      </c>
      <c r="Q347" s="148">
        <f>ROUND(E347*P347,5)</f>
        <v>0</v>
      </c>
      <c r="R347" s="148"/>
      <c r="S347" s="148"/>
      <c r="T347" s="149">
        <v>0.05</v>
      </c>
      <c r="U347" s="148">
        <f>ROUND(E347*T347,2)</f>
        <v>3.07</v>
      </c>
      <c r="V347" s="140"/>
      <c r="W347" s="140"/>
      <c r="X347" s="140"/>
      <c r="Y347" s="140"/>
      <c r="Z347" s="140"/>
      <c r="AA347" s="140"/>
      <c r="AB347" s="140"/>
      <c r="AC347" s="140"/>
      <c r="AD347" s="140"/>
      <c r="AE347" s="140" t="s">
        <v>128</v>
      </c>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1" x14ac:dyDescent="0.25">
      <c r="A348" s="141"/>
      <c r="B348" s="141"/>
      <c r="C348" s="179" t="s">
        <v>495</v>
      </c>
      <c r="D348" s="150"/>
      <c r="E348" s="155">
        <v>15.901</v>
      </c>
      <c r="F348" s="158"/>
      <c r="G348" s="158"/>
      <c r="H348" s="158"/>
      <c r="I348" s="158"/>
      <c r="J348" s="158"/>
      <c r="K348" s="158"/>
      <c r="L348" s="158"/>
      <c r="M348" s="158"/>
      <c r="N348" s="148"/>
      <c r="O348" s="148"/>
      <c r="P348" s="148"/>
      <c r="Q348" s="148"/>
      <c r="R348" s="148"/>
      <c r="S348" s="148"/>
      <c r="T348" s="149"/>
      <c r="U348" s="148"/>
      <c r="V348" s="140"/>
      <c r="W348" s="140"/>
      <c r="X348" s="140"/>
      <c r="Y348" s="140"/>
      <c r="Z348" s="140"/>
      <c r="AA348" s="140"/>
      <c r="AB348" s="140"/>
      <c r="AC348" s="140"/>
      <c r="AD348" s="140"/>
      <c r="AE348" s="140" t="s">
        <v>130</v>
      </c>
      <c r="AF348" s="140">
        <v>0</v>
      </c>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1" x14ac:dyDescent="0.25">
      <c r="A349" s="141"/>
      <c r="B349" s="141"/>
      <c r="C349" s="179" t="s">
        <v>496</v>
      </c>
      <c r="D349" s="150"/>
      <c r="E349" s="155">
        <v>17.623999999999999</v>
      </c>
      <c r="F349" s="158"/>
      <c r="G349" s="158"/>
      <c r="H349" s="158"/>
      <c r="I349" s="158"/>
      <c r="J349" s="158"/>
      <c r="K349" s="158"/>
      <c r="L349" s="158"/>
      <c r="M349" s="158"/>
      <c r="N349" s="148"/>
      <c r="O349" s="148"/>
      <c r="P349" s="148"/>
      <c r="Q349" s="148"/>
      <c r="R349" s="148"/>
      <c r="S349" s="148"/>
      <c r="T349" s="149"/>
      <c r="U349" s="148"/>
      <c r="V349" s="140"/>
      <c r="W349" s="140"/>
      <c r="X349" s="140"/>
      <c r="Y349" s="140"/>
      <c r="Z349" s="140"/>
      <c r="AA349" s="140"/>
      <c r="AB349" s="140"/>
      <c r="AC349" s="140"/>
      <c r="AD349" s="140"/>
      <c r="AE349" s="140" t="s">
        <v>130</v>
      </c>
      <c r="AF349" s="140">
        <v>0</v>
      </c>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1" x14ac:dyDescent="0.25">
      <c r="A350" s="141"/>
      <c r="B350" s="141"/>
      <c r="C350" s="179" t="s">
        <v>497</v>
      </c>
      <c r="D350" s="150"/>
      <c r="E350" s="155">
        <v>10.304</v>
      </c>
      <c r="F350" s="158"/>
      <c r="G350" s="158"/>
      <c r="H350" s="158"/>
      <c r="I350" s="158"/>
      <c r="J350" s="158"/>
      <c r="K350" s="158"/>
      <c r="L350" s="158"/>
      <c r="M350" s="158"/>
      <c r="N350" s="148"/>
      <c r="O350" s="148"/>
      <c r="P350" s="148"/>
      <c r="Q350" s="148"/>
      <c r="R350" s="148"/>
      <c r="S350" s="148"/>
      <c r="T350" s="149"/>
      <c r="U350" s="148"/>
      <c r="V350" s="140"/>
      <c r="W350" s="140"/>
      <c r="X350" s="140"/>
      <c r="Y350" s="140"/>
      <c r="Z350" s="140"/>
      <c r="AA350" s="140"/>
      <c r="AB350" s="140"/>
      <c r="AC350" s="140"/>
      <c r="AD350" s="140"/>
      <c r="AE350" s="140" t="s">
        <v>130</v>
      </c>
      <c r="AF350" s="140">
        <v>0</v>
      </c>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1" x14ac:dyDescent="0.25">
      <c r="A351" s="141"/>
      <c r="B351" s="141"/>
      <c r="C351" s="179" t="s">
        <v>498</v>
      </c>
      <c r="D351" s="150"/>
      <c r="E351" s="155">
        <v>17.579999999999998</v>
      </c>
      <c r="F351" s="158"/>
      <c r="G351" s="158"/>
      <c r="H351" s="158"/>
      <c r="I351" s="158"/>
      <c r="J351" s="158"/>
      <c r="K351" s="158"/>
      <c r="L351" s="158"/>
      <c r="M351" s="158"/>
      <c r="N351" s="148"/>
      <c r="O351" s="148"/>
      <c r="P351" s="148"/>
      <c r="Q351" s="148"/>
      <c r="R351" s="148"/>
      <c r="S351" s="148"/>
      <c r="T351" s="149"/>
      <c r="U351" s="148"/>
      <c r="V351" s="140"/>
      <c r="W351" s="140"/>
      <c r="X351" s="140"/>
      <c r="Y351" s="140"/>
      <c r="Z351" s="140"/>
      <c r="AA351" s="140"/>
      <c r="AB351" s="140"/>
      <c r="AC351" s="140"/>
      <c r="AD351" s="140"/>
      <c r="AE351" s="140" t="s">
        <v>130</v>
      </c>
      <c r="AF351" s="140">
        <v>0</v>
      </c>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ht="20" outlineLevel="1" x14ac:dyDescent="0.25">
      <c r="A352" s="141">
        <v>132</v>
      </c>
      <c r="B352" s="141" t="s">
        <v>499</v>
      </c>
      <c r="C352" s="178" t="s">
        <v>500</v>
      </c>
      <c r="D352" s="147" t="s">
        <v>139</v>
      </c>
      <c r="E352" s="154">
        <v>57.628999999999998</v>
      </c>
      <c r="F352" s="157"/>
      <c r="G352" s="158">
        <f>ROUND(E352*F352,2)</f>
        <v>0</v>
      </c>
      <c r="H352" s="158"/>
      <c r="I352" s="158">
        <f>ROUND(E352*H352,2)</f>
        <v>0</v>
      </c>
      <c r="J352" s="158"/>
      <c r="K352" s="158">
        <f>ROUND(E352*J352,2)</f>
        <v>0</v>
      </c>
      <c r="L352" s="158">
        <v>21</v>
      </c>
      <c r="M352" s="158">
        <f>G352*(1+L352/100)</f>
        <v>0</v>
      </c>
      <c r="N352" s="148">
        <v>3.7100000000000002E-3</v>
      </c>
      <c r="O352" s="148">
        <f>ROUND(E352*N352,5)</f>
        <v>0.21379999999999999</v>
      </c>
      <c r="P352" s="148">
        <v>0</v>
      </c>
      <c r="Q352" s="148">
        <f>ROUND(E352*P352,5)</f>
        <v>0</v>
      </c>
      <c r="R352" s="148"/>
      <c r="S352" s="148"/>
      <c r="T352" s="149">
        <v>1.25579</v>
      </c>
      <c r="U352" s="148">
        <f>ROUND(E352*T352,2)</f>
        <v>72.37</v>
      </c>
      <c r="V352" s="140"/>
      <c r="W352" s="140"/>
      <c r="X352" s="140"/>
      <c r="Y352" s="140"/>
      <c r="Z352" s="140"/>
      <c r="AA352" s="140"/>
      <c r="AB352" s="140"/>
      <c r="AC352" s="140"/>
      <c r="AD352" s="140"/>
      <c r="AE352" s="140" t="s">
        <v>133</v>
      </c>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1" x14ac:dyDescent="0.25">
      <c r="A353" s="141"/>
      <c r="B353" s="141"/>
      <c r="C353" s="179" t="s">
        <v>495</v>
      </c>
      <c r="D353" s="150"/>
      <c r="E353" s="155">
        <v>15.901</v>
      </c>
      <c r="F353" s="158"/>
      <c r="G353" s="158"/>
      <c r="H353" s="158"/>
      <c r="I353" s="158"/>
      <c r="J353" s="158"/>
      <c r="K353" s="158"/>
      <c r="L353" s="158"/>
      <c r="M353" s="158"/>
      <c r="N353" s="148"/>
      <c r="O353" s="148"/>
      <c r="P353" s="148"/>
      <c r="Q353" s="148"/>
      <c r="R353" s="148"/>
      <c r="S353" s="148"/>
      <c r="T353" s="149"/>
      <c r="U353" s="148"/>
      <c r="V353" s="140"/>
      <c r="W353" s="140"/>
      <c r="X353" s="140"/>
      <c r="Y353" s="140"/>
      <c r="Z353" s="140"/>
      <c r="AA353" s="140"/>
      <c r="AB353" s="140"/>
      <c r="AC353" s="140"/>
      <c r="AD353" s="140"/>
      <c r="AE353" s="140" t="s">
        <v>130</v>
      </c>
      <c r="AF353" s="140">
        <v>0</v>
      </c>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1" x14ac:dyDescent="0.25">
      <c r="A354" s="141"/>
      <c r="B354" s="141"/>
      <c r="C354" s="179" t="s">
        <v>496</v>
      </c>
      <c r="D354" s="150"/>
      <c r="E354" s="155">
        <v>17.623999999999999</v>
      </c>
      <c r="F354" s="158"/>
      <c r="G354" s="158"/>
      <c r="H354" s="158"/>
      <c r="I354" s="158"/>
      <c r="J354" s="158"/>
      <c r="K354" s="158"/>
      <c r="L354" s="158"/>
      <c r="M354" s="158"/>
      <c r="N354" s="148"/>
      <c r="O354" s="148"/>
      <c r="P354" s="148"/>
      <c r="Q354" s="148"/>
      <c r="R354" s="148"/>
      <c r="S354" s="148"/>
      <c r="T354" s="149"/>
      <c r="U354" s="148"/>
      <c r="V354" s="140"/>
      <c r="W354" s="140"/>
      <c r="X354" s="140"/>
      <c r="Y354" s="140"/>
      <c r="Z354" s="140"/>
      <c r="AA354" s="140"/>
      <c r="AB354" s="140"/>
      <c r="AC354" s="140"/>
      <c r="AD354" s="140"/>
      <c r="AE354" s="140" t="s">
        <v>130</v>
      </c>
      <c r="AF354" s="140">
        <v>0</v>
      </c>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1" x14ac:dyDescent="0.25">
      <c r="A355" s="141"/>
      <c r="B355" s="141"/>
      <c r="C355" s="179" t="s">
        <v>497</v>
      </c>
      <c r="D355" s="150"/>
      <c r="E355" s="155">
        <v>10.304</v>
      </c>
      <c r="F355" s="158"/>
      <c r="G355" s="158"/>
      <c r="H355" s="158"/>
      <c r="I355" s="158"/>
      <c r="J355" s="158"/>
      <c r="K355" s="158"/>
      <c r="L355" s="158"/>
      <c r="M355" s="158"/>
      <c r="N355" s="148"/>
      <c r="O355" s="148"/>
      <c r="P355" s="148"/>
      <c r="Q355" s="148"/>
      <c r="R355" s="148"/>
      <c r="S355" s="148"/>
      <c r="T355" s="149"/>
      <c r="U355" s="148"/>
      <c r="V355" s="140"/>
      <c r="W355" s="140"/>
      <c r="X355" s="140"/>
      <c r="Y355" s="140"/>
      <c r="Z355" s="140"/>
      <c r="AA355" s="140"/>
      <c r="AB355" s="140"/>
      <c r="AC355" s="140"/>
      <c r="AD355" s="140"/>
      <c r="AE355" s="140" t="s">
        <v>130</v>
      </c>
      <c r="AF355" s="140">
        <v>0</v>
      </c>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1" x14ac:dyDescent="0.25">
      <c r="A356" s="141"/>
      <c r="B356" s="141"/>
      <c r="C356" s="179" t="s">
        <v>501</v>
      </c>
      <c r="D356" s="150"/>
      <c r="E356" s="155">
        <v>13.8</v>
      </c>
      <c r="F356" s="158"/>
      <c r="G356" s="158"/>
      <c r="H356" s="158"/>
      <c r="I356" s="158"/>
      <c r="J356" s="158"/>
      <c r="K356" s="158"/>
      <c r="L356" s="158"/>
      <c r="M356" s="158"/>
      <c r="N356" s="148"/>
      <c r="O356" s="148"/>
      <c r="P356" s="148"/>
      <c r="Q356" s="148"/>
      <c r="R356" s="148"/>
      <c r="S356" s="148"/>
      <c r="T356" s="149"/>
      <c r="U356" s="148"/>
      <c r="V356" s="140"/>
      <c r="W356" s="140"/>
      <c r="X356" s="140"/>
      <c r="Y356" s="140"/>
      <c r="Z356" s="140"/>
      <c r="AA356" s="140"/>
      <c r="AB356" s="140"/>
      <c r="AC356" s="140"/>
      <c r="AD356" s="140"/>
      <c r="AE356" s="140" t="s">
        <v>130</v>
      </c>
      <c r="AF356" s="140">
        <v>0</v>
      </c>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1" x14ac:dyDescent="0.25">
      <c r="A357" s="141">
        <v>133</v>
      </c>
      <c r="B357" s="141" t="s">
        <v>502</v>
      </c>
      <c r="C357" s="178" t="s">
        <v>503</v>
      </c>
      <c r="D357" s="147" t="s">
        <v>139</v>
      </c>
      <c r="E357" s="154">
        <v>63.3919</v>
      </c>
      <c r="F357" s="157"/>
      <c r="G357" s="158">
        <f>ROUND(E357*F357,2)</f>
        <v>0</v>
      </c>
      <c r="H357" s="158"/>
      <c r="I357" s="158">
        <f>ROUND(E357*H357,2)</f>
        <v>0</v>
      </c>
      <c r="J357" s="158"/>
      <c r="K357" s="158">
        <f>ROUND(E357*J357,2)</f>
        <v>0</v>
      </c>
      <c r="L357" s="158">
        <v>21</v>
      </c>
      <c r="M357" s="158">
        <f>G357*(1+L357/100)</f>
        <v>0</v>
      </c>
      <c r="N357" s="148">
        <v>1.3599999999999999E-2</v>
      </c>
      <c r="O357" s="148">
        <f>ROUND(E357*N357,5)</f>
        <v>0.86212999999999995</v>
      </c>
      <c r="P357" s="148">
        <v>0</v>
      </c>
      <c r="Q357" s="148">
        <f>ROUND(E357*P357,5)</f>
        <v>0</v>
      </c>
      <c r="R357" s="148"/>
      <c r="S357" s="148"/>
      <c r="T357" s="149">
        <v>0</v>
      </c>
      <c r="U357" s="148">
        <f>ROUND(E357*T357,2)</f>
        <v>0</v>
      </c>
      <c r="V357" s="140"/>
      <c r="W357" s="140"/>
      <c r="X357" s="140"/>
      <c r="Y357" s="140"/>
      <c r="Z357" s="140"/>
      <c r="AA357" s="140"/>
      <c r="AB357" s="140"/>
      <c r="AC357" s="140"/>
      <c r="AD357" s="140"/>
      <c r="AE357" s="140" t="s">
        <v>334</v>
      </c>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1" x14ac:dyDescent="0.25">
      <c r="A358" s="141"/>
      <c r="B358" s="141"/>
      <c r="C358" s="179" t="s">
        <v>504</v>
      </c>
      <c r="D358" s="150"/>
      <c r="E358" s="155">
        <v>63.3919</v>
      </c>
      <c r="F358" s="158"/>
      <c r="G358" s="158"/>
      <c r="H358" s="158"/>
      <c r="I358" s="158"/>
      <c r="J358" s="158"/>
      <c r="K358" s="158"/>
      <c r="L358" s="158"/>
      <c r="M358" s="158"/>
      <c r="N358" s="148"/>
      <c r="O358" s="148"/>
      <c r="P358" s="148"/>
      <c r="Q358" s="148"/>
      <c r="R358" s="148"/>
      <c r="S358" s="148"/>
      <c r="T358" s="149"/>
      <c r="U358" s="148"/>
      <c r="V358" s="140"/>
      <c r="W358" s="140"/>
      <c r="X358" s="140"/>
      <c r="Y358" s="140"/>
      <c r="Z358" s="140"/>
      <c r="AA358" s="140"/>
      <c r="AB358" s="140"/>
      <c r="AC358" s="140"/>
      <c r="AD358" s="140"/>
      <c r="AE358" s="140" t="s">
        <v>130</v>
      </c>
      <c r="AF358" s="140">
        <v>0</v>
      </c>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1" x14ac:dyDescent="0.25">
      <c r="A359" s="141">
        <v>134</v>
      </c>
      <c r="B359" s="141" t="s">
        <v>505</v>
      </c>
      <c r="C359" s="178" t="s">
        <v>506</v>
      </c>
      <c r="D359" s="147" t="s">
        <v>136</v>
      </c>
      <c r="E359" s="154">
        <v>50</v>
      </c>
      <c r="F359" s="157"/>
      <c r="G359" s="158">
        <f>ROUND(E359*F359,2)</f>
        <v>0</v>
      </c>
      <c r="H359" s="158"/>
      <c r="I359" s="158">
        <f>ROUND(E359*H359,2)</f>
        <v>0</v>
      </c>
      <c r="J359" s="158"/>
      <c r="K359" s="158">
        <f>ROUND(E359*J359,2)</f>
        <v>0</v>
      </c>
      <c r="L359" s="158">
        <v>21</v>
      </c>
      <c r="M359" s="158">
        <f>G359*(1+L359/100)</f>
        <v>0</v>
      </c>
      <c r="N359" s="148">
        <v>0</v>
      </c>
      <c r="O359" s="148">
        <f>ROUND(E359*N359,5)</f>
        <v>0</v>
      </c>
      <c r="P359" s="148">
        <v>0</v>
      </c>
      <c r="Q359" s="148">
        <f>ROUND(E359*P359,5)</f>
        <v>0</v>
      </c>
      <c r="R359" s="148"/>
      <c r="S359" s="148"/>
      <c r="T359" s="149">
        <v>0.11</v>
      </c>
      <c r="U359" s="148">
        <f>ROUND(E359*T359,2)</f>
        <v>5.5</v>
      </c>
      <c r="V359" s="140"/>
      <c r="W359" s="140"/>
      <c r="X359" s="140"/>
      <c r="Y359" s="140"/>
      <c r="Z359" s="140"/>
      <c r="AA359" s="140"/>
      <c r="AB359" s="140"/>
      <c r="AC359" s="140"/>
      <c r="AD359" s="140"/>
      <c r="AE359" s="140" t="s">
        <v>128</v>
      </c>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1" x14ac:dyDescent="0.25">
      <c r="A360" s="141"/>
      <c r="B360" s="141"/>
      <c r="C360" s="179" t="s">
        <v>507</v>
      </c>
      <c r="D360" s="150"/>
      <c r="E360" s="155">
        <v>50</v>
      </c>
      <c r="F360" s="158"/>
      <c r="G360" s="158"/>
      <c r="H360" s="158"/>
      <c r="I360" s="158"/>
      <c r="J360" s="158"/>
      <c r="K360" s="158"/>
      <c r="L360" s="158"/>
      <c r="M360" s="158"/>
      <c r="N360" s="148"/>
      <c r="O360" s="148"/>
      <c r="P360" s="148"/>
      <c r="Q360" s="148"/>
      <c r="R360" s="148"/>
      <c r="S360" s="148"/>
      <c r="T360" s="149"/>
      <c r="U360" s="148"/>
      <c r="V360" s="140"/>
      <c r="W360" s="140"/>
      <c r="X360" s="140"/>
      <c r="Y360" s="140"/>
      <c r="Z360" s="140"/>
      <c r="AA360" s="140"/>
      <c r="AB360" s="140"/>
      <c r="AC360" s="140"/>
      <c r="AD360" s="140"/>
      <c r="AE360" s="140" t="s">
        <v>130</v>
      </c>
      <c r="AF360" s="140">
        <v>0</v>
      </c>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1" x14ac:dyDescent="0.25">
      <c r="A361" s="141">
        <v>135</v>
      </c>
      <c r="B361" s="141" t="s">
        <v>508</v>
      </c>
      <c r="C361" s="178" t="s">
        <v>509</v>
      </c>
      <c r="D361" s="147" t="s">
        <v>154</v>
      </c>
      <c r="E361" s="154">
        <v>1.0880300000000001</v>
      </c>
      <c r="F361" s="157"/>
      <c r="G361" s="158">
        <f>ROUND(E361*F361,2)</f>
        <v>0</v>
      </c>
      <c r="H361" s="158"/>
      <c r="I361" s="158">
        <f>ROUND(E361*H361,2)</f>
        <v>0</v>
      </c>
      <c r="J361" s="158"/>
      <c r="K361" s="158">
        <f>ROUND(E361*J361,2)</f>
        <v>0</v>
      </c>
      <c r="L361" s="158">
        <v>21</v>
      </c>
      <c r="M361" s="158">
        <f>G361*(1+L361/100)</f>
        <v>0</v>
      </c>
      <c r="N361" s="148">
        <v>0</v>
      </c>
      <c r="O361" s="148">
        <f>ROUND(E361*N361,5)</f>
        <v>0</v>
      </c>
      <c r="P361" s="148">
        <v>0</v>
      </c>
      <c r="Q361" s="148">
        <f>ROUND(E361*P361,5)</f>
        <v>0</v>
      </c>
      <c r="R361" s="148"/>
      <c r="S361" s="148"/>
      <c r="T361" s="149">
        <v>1.5980000000000001</v>
      </c>
      <c r="U361" s="148">
        <f>ROUND(E361*T361,2)</f>
        <v>1.74</v>
      </c>
      <c r="V361" s="140"/>
      <c r="W361" s="140"/>
      <c r="X361" s="140"/>
      <c r="Y361" s="140"/>
      <c r="Z361" s="140"/>
      <c r="AA361" s="140"/>
      <c r="AB361" s="140"/>
      <c r="AC361" s="140"/>
      <c r="AD361" s="140"/>
      <c r="AE361" s="140" t="s">
        <v>128</v>
      </c>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x14ac:dyDescent="0.25">
      <c r="A362" s="142" t="s">
        <v>123</v>
      </c>
      <c r="B362" s="142" t="s">
        <v>90</v>
      </c>
      <c r="C362" s="180" t="s">
        <v>91</v>
      </c>
      <c r="D362" s="151"/>
      <c r="E362" s="156"/>
      <c r="F362" s="159"/>
      <c r="G362" s="159">
        <f>SUMIF(AE363:AE371,"&lt;&gt;NOR",G363:G371)</f>
        <v>0</v>
      </c>
      <c r="H362" s="159"/>
      <c r="I362" s="159">
        <f>SUM(I363:I371)</f>
        <v>0</v>
      </c>
      <c r="J362" s="159"/>
      <c r="K362" s="159">
        <f>SUM(K363:K371)</f>
        <v>0</v>
      </c>
      <c r="L362" s="159"/>
      <c r="M362" s="159">
        <f>SUM(M363:M371)</f>
        <v>0</v>
      </c>
      <c r="N362" s="152"/>
      <c r="O362" s="152">
        <f>SUM(O363:O371)</f>
        <v>0</v>
      </c>
      <c r="P362" s="152"/>
      <c r="Q362" s="152">
        <f>SUM(Q363:Q371)</f>
        <v>0</v>
      </c>
      <c r="R362" s="152"/>
      <c r="S362" s="152"/>
      <c r="T362" s="153"/>
      <c r="U362" s="152">
        <f>SUM(U363:U371)</f>
        <v>0</v>
      </c>
      <c r="AE362" t="s">
        <v>124</v>
      </c>
    </row>
    <row r="363" spans="1:60" outlineLevel="1" x14ac:dyDescent="0.25">
      <c r="A363" s="141">
        <v>136</v>
      </c>
      <c r="B363" s="141" t="s">
        <v>510</v>
      </c>
      <c r="C363" s="178" t="s">
        <v>511</v>
      </c>
      <c r="D363" s="147" t="s">
        <v>136</v>
      </c>
      <c r="E363" s="154">
        <v>9</v>
      </c>
      <c r="F363" s="157"/>
      <c r="G363" s="158">
        <f>ROUND(E363*F363,2)</f>
        <v>0</v>
      </c>
      <c r="H363" s="158"/>
      <c r="I363" s="158">
        <f>ROUND(E363*H363,2)</f>
        <v>0</v>
      </c>
      <c r="J363" s="158"/>
      <c r="K363" s="158">
        <f>ROUND(E363*J363,2)</f>
        <v>0</v>
      </c>
      <c r="L363" s="158">
        <v>21</v>
      </c>
      <c r="M363" s="158">
        <f>G363*(1+L363/100)</f>
        <v>0</v>
      </c>
      <c r="N363" s="148">
        <v>0</v>
      </c>
      <c r="O363" s="148">
        <f>ROUND(E363*N363,5)</f>
        <v>0</v>
      </c>
      <c r="P363" s="148">
        <v>0</v>
      </c>
      <c r="Q363" s="148">
        <f>ROUND(E363*P363,5)</f>
        <v>0</v>
      </c>
      <c r="R363" s="148"/>
      <c r="S363" s="148"/>
      <c r="T363" s="149">
        <v>0</v>
      </c>
      <c r="U363" s="148">
        <f>ROUND(E363*T363,2)</f>
        <v>0</v>
      </c>
      <c r="V363" s="140"/>
      <c r="W363" s="140"/>
      <c r="X363" s="140"/>
      <c r="Y363" s="140"/>
      <c r="Z363" s="140"/>
      <c r="AA363" s="140"/>
      <c r="AB363" s="140"/>
      <c r="AC363" s="140"/>
      <c r="AD363" s="140"/>
      <c r="AE363" s="140" t="s">
        <v>128</v>
      </c>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1" x14ac:dyDescent="0.25">
      <c r="A364" s="141"/>
      <c r="B364" s="141"/>
      <c r="C364" s="179" t="s">
        <v>186</v>
      </c>
      <c r="D364" s="150"/>
      <c r="E364" s="155">
        <v>1</v>
      </c>
      <c r="F364" s="158"/>
      <c r="G364" s="158"/>
      <c r="H364" s="158"/>
      <c r="I364" s="158"/>
      <c r="J364" s="158"/>
      <c r="K364" s="158"/>
      <c r="L364" s="158"/>
      <c r="M364" s="158"/>
      <c r="N364" s="148"/>
      <c r="O364" s="148"/>
      <c r="P364" s="148"/>
      <c r="Q364" s="148"/>
      <c r="R364" s="148"/>
      <c r="S364" s="148"/>
      <c r="T364" s="149"/>
      <c r="U364" s="148"/>
      <c r="V364" s="140"/>
      <c r="W364" s="140"/>
      <c r="X364" s="140"/>
      <c r="Y364" s="140"/>
      <c r="Z364" s="140"/>
      <c r="AA364" s="140"/>
      <c r="AB364" s="140"/>
      <c r="AC364" s="140"/>
      <c r="AD364" s="140"/>
      <c r="AE364" s="140" t="s">
        <v>130</v>
      </c>
      <c r="AF364" s="140">
        <v>0</v>
      </c>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x14ac:dyDescent="0.25">
      <c r="A365" s="141"/>
      <c r="B365" s="141"/>
      <c r="C365" s="179" t="s">
        <v>194</v>
      </c>
      <c r="D365" s="150"/>
      <c r="E365" s="155">
        <v>1</v>
      </c>
      <c r="F365" s="158"/>
      <c r="G365" s="158"/>
      <c r="H365" s="158"/>
      <c r="I365" s="158"/>
      <c r="J365" s="158"/>
      <c r="K365" s="158"/>
      <c r="L365" s="158"/>
      <c r="M365" s="158"/>
      <c r="N365" s="148"/>
      <c r="O365" s="148"/>
      <c r="P365" s="148"/>
      <c r="Q365" s="148"/>
      <c r="R365" s="148"/>
      <c r="S365" s="148"/>
      <c r="T365" s="149"/>
      <c r="U365" s="148"/>
      <c r="V365" s="140"/>
      <c r="W365" s="140"/>
      <c r="X365" s="140"/>
      <c r="Y365" s="140"/>
      <c r="Z365" s="140"/>
      <c r="AA365" s="140"/>
      <c r="AB365" s="140"/>
      <c r="AC365" s="140"/>
      <c r="AD365" s="140"/>
      <c r="AE365" s="140" t="s">
        <v>130</v>
      </c>
      <c r="AF365" s="140">
        <v>0</v>
      </c>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1" x14ac:dyDescent="0.25">
      <c r="A366" s="141"/>
      <c r="B366" s="141"/>
      <c r="C366" s="179" t="s">
        <v>187</v>
      </c>
      <c r="D366" s="150"/>
      <c r="E366" s="155">
        <v>1</v>
      </c>
      <c r="F366" s="158"/>
      <c r="G366" s="158"/>
      <c r="H366" s="158"/>
      <c r="I366" s="158"/>
      <c r="J366" s="158"/>
      <c r="K366" s="158"/>
      <c r="L366" s="158"/>
      <c r="M366" s="158"/>
      <c r="N366" s="148"/>
      <c r="O366" s="148"/>
      <c r="P366" s="148"/>
      <c r="Q366" s="148"/>
      <c r="R366" s="148"/>
      <c r="S366" s="148"/>
      <c r="T366" s="149"/>
      <c r="U366" s="148"/>
      <c r="V366" s="140"/>
      <c r="W366" s="140"/>
      <c r="X366" s="140"/>
      <c r="Y366" s="140"/>
      <c r="Z366" s="140"/>
      <c r="AA366" s="140"/>
      <c r="AB366" s="140"/>
      <c r="AC366" s="140"/>
      <c r="AD366" s="140"/>
      <c r="AE366" s="140" t="s">
        <v>130</v>
      </c>
      <c r="AF366" s="140">
        <v>0</v>
      </c>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1" x14ac:dyDescent="0.25">
      <c r="A367" s="141"/>
      <c r="B367" s="141"/>
      <c r="C367" s="179" t="s">
        <v>188</v>
      </c>
      <c r="D367" s="150"/>
      <c r="E367" s="155">
        <v>1</v>
      </c>
      <c r="F367" s="158"/>
      <c r="G367" s="158"/>
      <c r="H367" s="158"/>
      <c r="I367" s="158"/>
      <c r="J367" s="158"/>
      <c r="K367" s="158"/>
      <c r="L367" s="158"/>
      <c r="M367" s="158"/>
      <c r="N367" s="148"/>
      <c r="O367" s="148"/>
      <c r="P367" s="148"/>
      <c r="Q367" s="148"/>
      <c r="R367" s="148"/>
      <c r="S367" s="148"/>
      <c r="T367" s="149"/>
      <c r="U367" s="148"/>
      <c r="V367" s="140"/>
      <c r="W367" s="140"/>
      <c r="X367" s="140"/>
      <c r="Y367" s="140"/>
      <c r="Z367" s="140"/>
      <c r="AA367" s="140"/>
      <c r="AB367" s="140"/>
      <c r="AC367" s="140"/>
      <c r="AD367" s="140"/>
      <c r="AE367" s="140" t="s">
        <v>130</v>
      </c>
      <c r="AF367" s="140">
        <v>0</v>
      </c>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1" x14ac:dyDescent="0.25">
      <c r="A368" s="141"/>
      <c r="B368" s="141"/>
      <c r="C368" s="179" t="s">
        <v>189</v>
      </c>
      <c r="D368" s="150"/>
      <c r="E368" s="155">
        <v>1</v>
      </c>
      <c r="F368" s="158"/>
      <c r="G368" s="158"/>
      <c r="H368" s="158"/>
      <c r="I368" s="158"/>
      <c r="J368" s="158"/>
      <c r="K368" s="158"/>
      <c r="L368" s="158"/>
      <c r="M368" s="158"/>
      <c r="N368" s="148"/>
      <c r="O368" s="148"/>
      <c r="P368" s="148"/>
      <c r="Q368" s="148"/>
      <c r="R368" s="148"/>
      <c r="S368" s="148"/>
      <c r="T368" s="149"/>
      <c r="U368" s="148"/>
      <c r="V368" s="140"/>
      <c r="W368" s="140"/>
      <c r="X368" s="140"/>
      <c r="Y368" s="140"/>
      <c r="Z368" s="140"/>
      <c r="AA368" s="140"/>
      <c r="AB368" s="140"/>
      <c r="AC368" s="140"/>
      <c r="AD368" s="140"/>
      <c r="AE368" s="140" t="s">
        <v>130</v>
      </c>
      <c r="AF368" s="140">
        <v>0</v>
      </c>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1" x14ac:dyDescent="0.25">
      <c r="A369" s="141"/>
      <c r="B369" s="141"/>
      <c r="C369" s="179" t="s">
        <v>190</v>
      </c>
      <c r="D369" s="150"/>
      <c r="E369" s="155">
        <v>1</v>
      </c>
      <c r="F369" s="158"/>
      <c r="G369" s="158"/>
      <c r="H369" s="158"/>
      <c r="I369" s="158"/>
      <c r="J369" s="158"/>
      <c r="K369" s="158"/>
      <c r="L369" s="158"/>
      <c r="M369" s="158"/>
      <c r="N369" s="148"/>
      <c r="O369" s="148"/>
      <c r="P369" s="148"/>
      <c r="Q369" s="148"/>
      <c r="R369" s="148"/>
      <c r="S369" s="148"/>
      <c r="T369" s="149"/>
      <c r="U369" s="148"/>
      <c r="V369" s="140"/>
      <c r="W369" s="140"/>
      <c r="X369" s="140"/>
      <c r="Y369" s="140"/>
      <c r="Z369" s="140"/>
      <c r="AA369" s="140"/>
      <c r="AB369" s="140"/>
      <c r="AC369" s="140"/>
      <c r="AD369" s="140"/>
      <c r="AE369" s="140" t="s">
        <v>130</v>
      </c>
      <c r="AF369" s="140">
        <v>0</v>
      </c>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1" x14ac:dyDescent="0.25">
      <c r="A370" s="141"/>
      <c r="B370" s="141"/>
      <c r="C370" s="179" t="s">
        <v>191</v>
      </c>
      <c r="D370" s="150"/>
      <c r="E370" s="155">
        <v>2</v>
      </c>
      <c r="F370" s="158"/>
      <c r="G370" s="158"/>
      <c r="H370" s="158"/>
      <c r="I370" s="158"/>
      <c r="J370" s="158"/>
      <c r="K370" s="158"/>
      <c r="L370" s="158"/>
      <c r="M370" s="158"/>
      <c r="N370" s="148"/>
      <c r="O370" s="148"/>
      <c r="P370" s="148"/>
      <c r="Q370" s="148"/>
      <c r="R370" s="148"/>
      <c r="S370" s="148"/>
      <c r="T370" s="149"/>
      <c r="U370" s="148"/>
      <c r="V370" s="140"/>
      <c r="W370" s="140"/>
      <c r="X370" s="140"/>
      <c r="Y370" s="140"/>
      <c r="Z370" s="140"/>
      <c r="AA370" s="140"/>
      <c r="AB370" s="140"/>
      <c r="AC370" s="140"/>
      <c r="AD370" s="140"/>
      <c r="AE370" s="140" t="s">
        <v>130</v>
      </c>
      <c r="AF370" s="140">
        <v>0</v>
      </c>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1" x14ac:dyDescent="0.25">
      <c r="A371" s="141"/>
      <c r="B371" s="141"/>
      <c r="C371" s="179" t="s">
        <v>199</v>
      </c>
      <c r="D371" s="150"/>
      <c r="E371" s="155">
        <v>1</v>
      </c>
      <c r="F371" s="158"/>
      <c r="G371" s="158"/>
      <c r="H371" s="158"/>
      <c r="I371" s="158"/>
      <c r="J371" s="158"/>
      <c r="K371" s="158"/>
      <c r="L371" s="158"/>
      <c r="M371" s="158"/>
      <c r="N371" s="148"/>
      <c r="O371" s="148"/>
      <c r="P371" s="148"/>
      <c r="Q371" s="148"/>
      <c r="R371" s="148"/>
      <c r="S371" s="148"/>
      <c r="T371" s="149"/>
      <c r="U371" s="148"/>
      <c r="V371" s="140"/>
      <c r="W371" s="140"/>
      <c r="X371" s="140"/>
      <c r="Y371" s="140"/>
      <c r="Z371" s="140"/>
      <c r="AA371" s="140"/>
      <c r="AB371" s="140"/>
      <c r="AC371" s="140"/>
      <c r="AD371" s="140"/>
      <c r="AE371" s="140" t="s">
        <v>130</v>
      </c>
      <c r="AF371" s="140">
        <v>0</v>
      </c>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x14ac:dyDescent="0.25">
      <c r="A372" s="142" t="s">
        <v>123</v>
      </c>
      <c r="B372" s="142" t="s">
        <v>92</v>
      </c>
      <c r="C372" s="180" t="s">
        <v>93</v>
      </c>
      <c r="D372" s="151"/>
      <c r="E372" s="156"/>
      <c r="F372" s="159"/>
      <c r="G372" s="159">
        <f>SUMIF(AE373:AE408,"&lt;&gt;NOR",G373:G408)</f>
        <v>0</v>
      </c>
      <c r="H372" s="159"/>
      <c r="I372" s="159">
        <f>SUM(I373:I408)</f>
        <v>0</v>
      </c>
      <c r="J372" s="159"/>
      <c r="K372" s="159">
        <f>SUM(K373:K408)</f>
        <v>0</v>
      </c>
      <c r="L372" s="159"/>
      <c r="M372" s="159">
        <f>SUM(M373:M408)</f>
        <v>0</v>
      </c>
      <c r="N372" s="152"/>
      <c r="O372" s="152">
        <f>SUM(O373:O408)</f>
        <v>0.39202000000000004</v>
      </c>
      <c r="P372" s="152"/>
      <c r="Q372" s="152">
        <f>SUM(Q373:Q408)</f>
        <v>0</v>
      </c>
      <c r="R372" s="152"/>
      <c r="S372" s="152"/>
      <c r="T372" s="153"/>
      <c r="U372" s="152">
        <f>SUM(U373:U408)</f>
        <v>127.77</v>
      </c>
      <c r="AE372" t="s">
        <v>124</v>
      </c>
    </row>
    <row r="373" spans="1:60" outlineLevel="1" x14ac:dyDescent="0.25">
      <c r="A373" s="141">
        <v>137</v>
      </c>
      <c r="B373" s="141" t="s">
        <v>512</v>
      </c>
      <c r="C373" s="178" t="s">
        <v>513</v>
      </c>
      <c r="D373" s="147" t="s">
        <v>139</v>
      </c>
      <c r="E373" s="154">
        <v>431.66750000000002</v>
      </c>
      <c r="F373" s="157"/>
      <c r="G373" s="158">
        <f>ROUND(E373*F373,2)</f>
        <v>0</v>
      </c>
      <c r="H373" s="158"/>
      <c r="I373" s="158">
        <f>ROUND(E373*H373,2)</f>
        <v>0</v>
      </c>
      <c r="J373" s="158"/>
      <c r="K373" s="158">
        <f>ROUND(E373*J373,2)</f>
        <v>0</v>
      </c>
      <c r="L373" s="158">
        <v>21</v>
      </c>
      <c r="M373" s="158">
        <f>G373*(1+L373/100)</f>
        <v>0</v>
      </c>
      <c r="N373" s="148">
        <v>1.4999999999999999E-4</v>
      </c>
      <c r="O373" s="148">
        <f>ROUND(E373*N373,5)</f>
        <v>6.4750000000000002E-2</v>
      </c>
      <c r="P373" s="148">
        <v>0</v>
      </c>
      <c r="Q373" s="148">
        <f>ROUND(E373*P373,5)</f>
        <v>0</v>
      </c>
      <c r="R373" s="148"/>
      <c r="S373" s="148"/>
      <c r="T373" s="149">
        <v>3.2480000000000002E-2</v>
      </c>
      <c r="U373" s="148">
        <f>ROUND(E373*T373,2)</f>
        <v>14.02</v>
      </c>
      <c r="V373" s="140"/>
      <c r="W373" s="140"/>
      <c r="X373" s="140"/>
      <c r="Y373" s="140"/>
      <c r="Z373" s="140"/>
      <c r="AA373" s="140"/>
      <c r="AB373" s="140"/>
      <c r="AC373" s="140"/>
      <c r="AD373" s="140"/>
      <c r="AE373" s="140" t="s">
        <v>128</v>
      </c>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1" x14ac:dyDescent="0.25">
      <c r="A374" s="141"/>
      <c r="B374" s="141"/>
      <c r="C374" s="179" t="s">
        <v>259</v>
      </c>
      <c r="D374" s="150"/>
      <c r="E374" s="155">
        <v>88.146000000000001</v>
      </c>
      <c r="F374" s="158"/>
      <c r="G374" s="158"/>
      <c r="H374" s="158"/>
      <c r="I374" s="158"/>
      <c r="J374" s="158"/>
      <c r="K374" s="158"/>
      <c r="L374" s="158"/>
      <c r="M374" s="158"/>
      <c r="N374" s="148"/>
      <c r="O374" s="148"/>
      <c r="P374" s="148"/>
      <c r="Q374" s="148"/>
      <c r="R374" s="148"/>
      <c r="S374" s="148"/>
      <c r="T374" s="149"/>
      <c r="U374" s="148"/>
      <c r="V374" s="140"/>
      <c r="W374" s="140"/>
      <c r="X374" s="140"/>
      <c r="Y374" s="140"/>
      <c r="Z374" s="140"/>
      <c r="AA374" s="140"/>
      <c r="AB374" s="140"/>
      <c r="AC374" s="140"/>
      <c r="AD374" s="140"/>
      <c r="AE374" s="140" t="s">
        <v>130</v>
      </c>
      <c r="AF374" s="140">
        <v>0</v>
      </c>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1" x14ac:dyDescent="0.25">
      <c r="A375" s="141"/>
      <c r="B375" s="141"/>
      <c r="C375" s="179" t="s">
        <v>514</v>
      </c>
      <c r="D375" s="150"/>
      <c r="E375" s="155">
        <v>28.22</v>
      </c>
      <c r="F375" s="158"/>
      <c r="G375" s="158"/>
      <c r="H375" s="158"/>
      <c r="I375" s="158"/>
      <c r="J375" s="158"/>
      <c r="K375" s="158"/>
      <c r="L375" s="158"/>
      <c r="M375" s="158"/>
      <c r="N375" s="148"/>
      <c r="O375" s="148"/>
      <c r="P375" s="148"/>
      <c r="Q375" s="148"/>
      <c r="R375" s="148"/>
      <c r="S375" s="148"/>
      <c r="T375" s="149"/>
      <c r="U375" s="148"/>
      <c r="V375" s="140"/>
      <c r="W375" s="140"/>
      <c r="X375" s="140"/>
      <c r="Y375" s="140"/>
      <c r="Z375" s="140"/>
      <c r="AA375" s="140"/>
      <c r="AB375" s="140"/>
      <c r="AC375" s="140"/>
      <c r="AD375" s="140"/>
      <c r="AE375" s="140" t="s">
        <v>130</v>
      </c>
      <c r="AF375" s="140">
        <v>0</v>
      </c>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1" x14ac:dyDescent="0.25">
      <c r="A376" s="141"/>
      <c r="B376" s="141"/>
      <c r="C376" s="179" t="s">
        <v>515</v>
      </c>
      <c r="D376" s="150"/>
      <c r="E376" s="155">
        <v>70.064999999999998</v>
      </c>
      <c r="F376" s="158"/>
      <c r="G376" s="158"/>
      <c r="H376" s="158"/>
      <c r="I376" s="158"/>
      <c r="J376" s="158"/>
      <c r="K376" s="158"/>
      <c r="L376" s="158"/>
      <c r="M376" s="158"/>
      <c r="N376" s="148"/>
      <c r="O376" s="148"/>
      <c r="P376" s="148"/>
      <c r="Q376" s="148"/>
      <c r="R376" s="148"/>
      <c r="S376" s="148"/>
      <c r="T376" s="149"/>
      <c r="U376" s="148"/>
      <c r="V376" s="140"/>
      <c r="W376" s="140"/>
      <c r="X376" s="140"/>
      <c r="Y376" s="140"/>
      <c r="Z376" s="140"/>
      <c r="AA376" s="140"/>
      <c r="AB376" s="140"/>
      <c r="AC376" s="140"/>
      <c r="AD376" s="140"/>
      <c r="AE376" s="140" t="s">
        <v>130</v>
      </c>
      <c r="AF376" s="140">
        <v>0</v>
      </c>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1" x14ac:dyDescent="0.25">
      <c r="A377" s="141"/>
      <c r="B377" s="141"/>
      <c r="C377" s="179" t="s">
        <v>516</v>
      </c>
      <c r="D377" s="150"/>
      <c r="E377" s="155">
        <v>2.4</v>
      </c>
      <c r="F377" s="158"/>
      <c r="G377" s="158"/>
      <c r="H377" s="158"/>
      <c r="I377" s="158"/>
      <c r="J377" s="158"/>
      <c r="K377" s="158"/>
      <c r="L377" s="158"/>
      <c r="M377" s="158"/>
      <c r="N377" s="148"/>
      <c r="O377" s="148"/>
      <c r="P377" s="148"/>
      <c r="Q377" s="148"/>
      <c r="R377" s="148"/>
      <c r="S377" s="148"/>
      <c r="T377" s="149"/>
      <c r="U377" s="148"/>
      <c r="V377" s="140"/>
      <c r="W377" s="140"/>
      <c r="X377" s="140"/>
      <c r="Y377" s="140"/>
      <c r="Z377" s="140"/>
      <c r="AA377" s="140"/>
      <c r="AB377" s="140"/>
      <c r="AC377" s="140"/>
      <c r="AD377" s="140"/>
      <c r="AE377" s="140" t="s">
        <v>130</v>
      </c>
      <c r="AF377" s="140">
        <v>0</v>
      </c>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1" x14ac:dyDescent="0.25">
      <c r="A378" s="141"/>
      <c r="B378" s="141"/>
      <c r="C378" s="179" t="s">
        <v>517</v>
      </c>
      <c r="D378" s="150"/>
      <c r="E378" s="155">
        <v>1.4850000000000001</v>
      </c>
      <c r="F378" s="158"/>
      <c r="G378" s="158"/>
      <c r="H378" s="158"/>
      <c r="I378" s="158"/>
      <c r="J378" s="158"/>
      <c r="K378" s="158"/>
      <c r="L378" s="158"/>
      <c r="M378" s="158"/>
      <c r="N378" s="148"/>
      <c r="O378" s="148"/>
      <c r="P378" s="148"/>
      <c r="Q378" s="148"/>
      <c r="R378" s="148"/>
      <c r="S378" s="148"/>
      <c r="T378" s="149"/>
      <c r="U378" s="148"/>
      <c r="V378" s="140"/>
      <c r="W378" s="140"/>
      <c r="X378" s="140"/>
      <c r="Y378" s="140"/>
      <c r="Z378" s="140"/>
      <c r="AA378" s="140"/>
      <c r="AB378" s="140"/>
      <c r="AC378" s="140"/>
      <c r="AD378" s="140"/>
      <c r="AE378" s="140" t="s">
        <v>130</v>
      </c>
      <c r="AF378" s="140">
        <v>0</v>
      </c>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outlineLevel="1" x14ac:dyDescent="0.25">
      <c r="A379" s="141"/>
      <c r="B379" s="141"/>
      <c r="C379" s="179" t="s">
        <v>518</v>
      </c>
      <c r="D379" s="150"/>
      <c r="E379" s="155">
        <v>67.06</v>
      </c>
      <c r="F379" s="158"/>
      <c r="G379" s="158"/>
      <c r="H379" s="158"/>
      <c r="I379" s="158"/>
      <c r="J379" s="158"/>
      <c r="K379" s="158"/>
      <c r="L379" s="158"/>
      <c r="M379" s="158"/>
      <c r="N379" s="148"/>
      <c r="O379" s="148"/>
      <c r="P379" s="148"/>
      <c r="Q379" s="148"/>
      <c r="R379" s="148"/>
      <c r="S379" s="148"/>
      <c r="T379" s="149"/>
      <c r="U379" s="148"/>
      <c r="V379" s="140"/>
      <c r="W379" s="140"/>
      <c r="X379" s="140"/>
      <c r="Y379" s="140"/>
      <c r="Z379" s="140"/>
      <c r="AA379" s="140"/>
      <c r="AB379" s="140"/>
      <c r="AC379" s="140"/>
      <c r="AD379" s="140"/>
      <c r="AE379" s="140" t="s">
        <v>130</v>
      </c>
      <c r="AF379" s="140">
        <v>0</v>
      </c>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1" x14ac:dyDescent="0.25">
      <c r="A380" s="141"/>
      <c r="B380" s="141"/>
      <c r="C380" s="179" t="s">
        <v>519</v>
      </c>
      <c r="D380" s="150"/>
      <c r="E380" s="155">
        <v>60.55</v>
      </c>
      <c r="F380" s="158"/>
      <c r="G380" s="158"/>
      <c r="H380" s="158"/>
      <c r="I380" s="158"/>
      <c r="J380" s="158"/>
      <c r="K380" s="158"/>
      <c r="L380" s="158"/>
      <c r="M380" s="158"/>
      <c r="N380" s="148"/>
      <c r="O380" s="148"/>
      <c r="P380" s="148"/>
      <c r="Q380" s="148"/>
      <c r="R380" s="148"/>
      <c r="S380" s="148"/>
      <c r="T380" s="149"/>
      <c r="U380" s="148"/>
      <c r="V380" s="140"/>
      <c r="W380" s="140"/>
      <c r="X380" s="140"/>
      <c r="Y380" s="140"/>
      <c r="Z380" s="140"/>
      <c r="AA380" s="140"/>
      <c r="AB380" s="140"/>
      <c r="AC380" s="140"/>
      <c r="AD380" s="140"/>
      <c r="AE380" s="140" t="s">
        <v>130</v>
      </c>
      <c r="AF380" s="140">
        <v>0</v>
      </c>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1" x14ac:dyDescent="0.25">
      <c r="A381" s="141"/>
      <c r="B381" s="141"/>
      <c r="C381" s="179" t="s">
        <v>520</v>
      </c>
      <c r="D381" s="150"/>
      <c r="E381" s="155">
        <v>55.244</v>
      </c>
      <c r="F381" s="158"/>
      <c r="G381" s="158"/>
      <c r="H381" s="158"/>
      <c r="I381" s="158"/>
      <c r="J381" s="158"/>
      <c r="K381" s="158"/>
      <c r="L381" s="158"/>
      <c r="M381" s="158"/>
      <c r="N381" s="148"/>
      <c r="O381" s="148"/>
      <c r="P381" s="148"/>
      <c r="Q381" s="148"/>
      <c r="R381" s="148"/>
      <c r="S381" s="148"/>
      <c r="T381" s="149"/>
      <c r="U381" s="148"/>
      <c r="V381" s="140"/>
      <c r="W381" s="140"/>
      <c r="X381" s="140"/>
      <c r="Y381" s="140"/>
      <c r="Z381" s="140"/>
      <c r="AA381" s="140"/>
      <c r="AB381" s="140"/>
      <c r="AC381" s="140"/>
      <c r="AD381" s="140"/>
      <c r="AE381" s="140" t="s">
        <v>130</v>
      </c>
      <c r="AF381" s="140">
        <v>0</v>
      </c>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1" x14ac:dyDescent="0.25">
      <c r="A382" s="141"/>
      <c r="B382" s="141"/>
      <c r="C382" s="179" t="s">
        <v>521</v>
      </c>
      <c r="D382" s="150"/>
      <c r="E382" s="155">
        <v>42.42</v>
      </c>
      <c r="F382" s="158"/>
      <c r="G382" s="158"/>
      <c r="H382" s="158"/>
      <c r="I382" s="158"/>
      <c r="J382" s="158"/>
      <c r="K382" s="158"/>
      <c r="L382" s="158"/>
      <c r="M382" s="158"/>
      <c r="N382" s="148"/>
      <c r="O382" s="148"/>
      <c r="P382" s="148"/>
      <c r="Q382" s="148"/>
      <c r="R382" s="148"/>
      <c r="S382" s="148"/>
      <c r="T382" s="149"/>
      <c r="U382" s="148"/>
      <c r="V382" s="140"/>
      <c r="W382" s="140"/>
      <c r="X382" s="140"/>
      <c r="Y382" s="140"/>
      <c r="Z382" s="140"/>
      <c r="AA382" s="140"/>
      <c r="AB382" s="140"/>
      <c r="AC382" s="140"/>
      <c r="AD382" s="140"/>
      <c r="AE382" s="140" t="s">
        <v>130</v>
      </c>
      <c r="AF382" s="140">
        <v>0</v>
      </c>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1" x14ac:dyDescent="0.25">
      <c r="A383" s="141"/>
      <c r="B383" s="141"/>
      <c r="C383" s="179" t="s">
        <v>522</v>
      </c>
      <c r="D383" s="150"/>
      <c r="E383" s="155">
        <v>-17.579999999999998</v>
      </c>
      <c r="F383" s="158"/>
      <c r="G383" s="158"/>
      <c r="H383" s="158"/>
      <c r="I383" s="158"/>
      <c r="J383" s="158"/>
      <c r="K383" s="158"/>
      <c r="L383" s="158"/>
      <c r="M383" s="158"/>
      <c r="N383" s="148"/>
      <c r="O383" s="148"/>
      <c r="P383" s="148"/>
      <c r="Q383" s="148"/>
      <c r="R383" s="148"/>
      <c r="S383" s="148"/>
      <c r="T383" s="149"/>
      <c r="U383" s="148"/>
      <c r="V383" s="140"/>
      <c r="W383" s="140"/>
      <c r="X383" s="140"/>
      <c r="Y383" s="140"/>
      <c r="Z383" s="140"/>
      <c r="AA383" s="140"/>
      <c r="AB383" s="140"/>
      <c r="AC383" s="140"/>
      <c r="AD383" s="140"/>
      <c r="AE383" s="140" t="s">
        <v>130</v>
      </c>
      <c r="AF383" s="140">
        <v>0</v>
      </c>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1" x14ac:dyDescent="0.25">
      <c r="A384" s="141"/>
      <c r="B384" s="141"/>
      <c r="C384" s="179" t="s">
        <v>523</v>
      </c>
      <c r="D384" s="150"/>
      <c r="E384" s="155">
        <v>5.39</v>
      </c>
      <c r="F384" s="158"/>
      <c r="G384" s="158"/>
      <c r="H384" s="158"/>
      <c r="I384" s="158"/>
      <c r="J384" s="158"/>
      <c r="K384" s="158"/>
      <c r="L384" s="158"/>
      <c r="M384" s="158"/>
      <c r="N384" s="148"/>
      <c r="O384" s="148"/>
      <c r="P384" s="148"/>
      <c r="Q384" s="148"/>
      <c r="R384" s="148"/>
      <c r="S384" s="148"/>
      <c r="T384" s="149"/>
      <c r="U384" s="148"/>
      <c r="V384" s="140"/>
      <c r="W384" s="140"/>
      <c r="X384" s="140"/>
      <c r="Y384" s="140"/>
      <c r="Z384" s="140"/>
      <c r="AA384" s="140"/>
      <c r="AB384" s="140"/>
      <c r="AC384" s="140"/>
      <c r="AD384" s="140"/>
      <c r="AE384" s="140" t="s">
        <v>130</v>
      </c>
      <c r="AF384" s="140">
        <v>0</v>
      </c>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1" x14ac:dyDescent="0.25">
      <c r="A385" s="141"/>
      <c r="B385" s="141"/>
      <c r="C385" s="179" t="s">
        <v>524</v>
      </c>
      <c r="D385" s="150"/>
      <c r="E385" s="155">
        <v>28.267499999999998</v>
      </c>
      <c r="F385" s="158"/>
      <c r="G385" s="158"/>
      <c r="H385" s="158"/>
      <c r="I385" s="158"/>
      <c r="J385" s="158"/>
      <c r="K385" s="158"/>
      <c r="L385" s="158"/>
      <c r="M385" s="158"/>
      <c r="N385" s="148"/>
      <c r="O385" s="148"/>
      <c r="P385" s="148"/>
      <c r="Q385" s="148"/>
      <c r="R385" s="148"/>
      <c r="S385" s="148"/>
      <c r="T385" s="149"/>
      <c r="U385" s="148"/>
      <c r="V385" s="140"/>
      <c r="W385" s="140"/>
      <c r="X385" s="140"/>
      <c r="Y385" s="140"/>
      <c r="Z385" s="140"/>
      <c r="AA385" s="140"/>
      <c r="AB385" s="140"/>
      <c r="AC385" s="140"/>
      <c r="AD385" s="140"/>
      <c r="AE385" s="140" t="s">
        <v>130</v>
      </c>
      <c r="AF385" s="140">
        <v>0</v>
      </c>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1" x14ac:dyDescent="0.25">
      <c r="A386" s="141">
        <v>138</v>
      </c>
      <c r="B386" s="141" t="s">
        <v>525</v>
      </c>
      <c r="C386" s="178" t="s">
        <v>526</v>
      </c>
      <c r="D386" s="147" t="s">
        <v>139</v>
      </c>
      <c r="E386" s="154">
        <v>471.51749999999998</v>
      </c>
      <c r="F386" s="157"/>
      <c r="G386" s="158">
        <f>ROUND(E386*F386,2)</f>
        <v>0</v>
      </c>
      <c r="H386" s="158"/>
      <c r="I386" s="158">
        <f>ROUND(E386*H386,2)</f>
        <v>0</v>
      </c>
      <c r="J386" s="158"/>
      <c r="K386" s="158">
        <f>ROUND(E386*J386,2)</f>
        <v>0</v>
      </c>
      <c r="L386" s="158">
        <v>21</v>
      </c>
      <c r="M386" s="158">
        <f>G386*(1+L386/100)</f>
        <v>0</v>
      </c>
      <c r="N386" s="148">
        <v>4.6000000000000001E-4</v>
      </c>
      <c r="O386" s="148">
        <f>ROUND(E386*N386,5)</f>
        <v>0.21690000000000001</v>
      </c>
      <c r="P386" s="148">
        <v>0</v>
      </c>
      <c r="Q386" s="148">
        <f>ROUND(E386*P386,5)</f>
        <v>0</v>
      </c>
      <c r="R386" s="148"/>
      <c r="S386" s="148"/>
      <c r="T386" s="149">
        <v>0.1</v>
      </c>
      <c r="U386" s="148">
        <f>ROUND(E386*T386,2)</f>
        <v>47.15</v>
      </c>
      <c r="V386" s="140"/>
      <c r="W386" s="140"/>
      <c r="X386" s="140"/>
      <c r="Y386" s="140"/>
      <c r="Z386" s="140"/>
      <c r="AA386" s="140"/>
      <c r="AB386" s="140"/>
      <c r="AC386" s="140"/>
      <c r="AD386" s="140"/>
      <c r="AE386" s="140" t="s">
        <v>128</v>
      </c>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1" x14ac:dyDescent="0.25">
      <c r="A387" s="141"/>
      <c r="B387" s="141"/>
      <c r="C387" s="179" t="s">
        <v>527</v>
      </c>
      <c r="D387" s="150"/>
      <c r="E387" s="155">
        <v>39.85</v>
      </c>
      <c r="F387" s="158"/>
      <c r="G387" s="158"/>
      <c r="H387" s="158"/>
      <c r="I387" s="158"/>
      <c r="J387" s="158"/>
      <c r="K387" s="158"/>
      <c r="L387" s="158"/>
      <c r="M387" s="158"/>
      <c r="N387" s="148"/>
      <c r="O387" s="148"/>
      <c r="P387" s="148"/>
      <c r="Q387" s="148"/>
      <c r="R387" s="148"/>
      <c r="S387" s="148"/>
      <c r="T387" s="149"/>
      <c r="U387" s="148"/>
      <c r="V387" s="140"/>
      <c r="W387" s="140"/>
      <c r="X387" s="140"/>
      <c r="Y387" s="140"/>
      <c r="Z387" s="140"/>
      <c r="AA387" s="140"/>
      <c r="AB387" s="140"/>
      <c r="AC387" s="140"/>
      <c r="AD387" s="140"/>
      <c r="AE387" s="140" t="s">
        <v>130</v>
      </c>
      <c r="AF387" s="140">
        <v>0</v>
      </c>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1" x14ac:dyDescent="0.25">
      <c r="A388" s="141"/>
      <c r="B388" s="141"/>
      <c r="C388" s="179" t="s">
        <v>259</v>
      </c>
      <c r="D388" s="150"/>
      <c r="E388" s="155">
        <v>88.146000000000001</v>
      </c>
      <c r="F388" s="158"/>
      <c r="G388" s="158"/>
      <c r="H388" s="158"/>
      <c r="I388" s="158"/>
      <c r="J388" s="158"/>
      <c r="K388" s="158"/>
      <c r="L388" s="158"/>
      <c r="M388" s="158"/>
      <c r="N388" s="148"/>
      <c r="O388" s="148"/>
      <c r="P388" s="148"/>
      <c r="Q388" s="148"/>
      <c r="R388" s="148"/>
      <c r="S388" s="148"/>
      <c r="T388" s="149"/>
      <c r="U388" s="148"/>
      <c r="V388" s="140"/>
      <c r="W388" s="140"/>
      <c r="X388" s="140"/>
      <c r="Y388" s="140"/>
      <c r="Z388" s="140"/>
      <c r="AA388" s="140"/>
      <c r="AB388" s="140"/>
      <c r="AC388" s="140"/>
      <c r="AD388" s="140"/>
      <c r="AE388" s="140" t="s">
        <v>130</v>
      </c>
      <c r="AF388" s="140">
        <v>0</v>
      </c>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1" x14ac:dyDescent="0.25">
      <c r="A389" s="141"/>
      <c r="B389" s="141"/>
      <c r="C389" s="179" t="s">
        <v>514</v>
      </c>
      <c r="D389" s="150"/>
      <c r="E389" s="155">
        <v>28.22</v>
      </c>
      <c r="F389" s="158"/>
      <c r="G389" s="158"/>
      <c r="H389" s="158"/>
      <c r="I389" s="158"/>
      <c r="J389" s="158"/>
      <c r="K389" s="158"/>
      <c r="L389" s="158"/>
      <c r="M389" s="158"/>
      <c r="N389" s="148"/>
      <c r="O389" s="148"/>
      <c r="P389" s="148"/>
      <c r="Q389" s="148"/>
      <c r="R389" s="148"/>
      <c r="S389" s="148"/>
      <c r="T389" s="149"/>
      <c r="U389" s="148"/>
      <c r="V389" s="140"/>
      <c r="W389" s="140"/>
      <c r="X389" s="140"/>
      <c r="Y389" s="140"/>
      <c r="Z389" s="140"/>
      <c r="AA389" s="140"/>
      <c r="AB389" s="140"/>
      <c r="AC389" s="140"/>
      <c r="AD389" s="140"/>
      <c r="AE389" s="140" t="s">
        <v>130</v>
      </c>
      <c r="AF389" s="140">
        <v>0</v>
      </c>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1" x14ac:dyDescent="0.25">
      <c r="A390" s="141"/>
      <c r="B390" s="141"/>
      <c r="C390" s="179" t="s">
        <v>515</v>
      </c>
      <c r="D390" s="150"/>
      <c r="E390" s="155">
        <v>70.064999999999998</v>
      </c>
      <c r="F390" s="158"/>
      <c r="G390" s="158"/>
      <c r="H390" s="158"/>
      <c r="I390" s="158"/>
      <c r="J390" s="158"/>
      <c r="K390" s="158"/>
      <c r="L390" s="158"/>
      <c r="M390" s="158"/>
      <c r="N390" s="148"/>
      <c r="O390" s="148"/>
      <c r="P390" s="148"/>
      <c r="Q390" s="148"/>
      <c r="R390" s="148"/>
      <c r="S390" s="148"/>
      <c r="T390" s="149"/>
      <c r="U390" s="148"/>
      <c r="V390" s="140"/>
      <c r="W390" s="140"/>
      <c r="X390" s="140"/>
      <c r="Y390" s="140"/>
      <c r="Z390" s="140"/>
      <c r="AA390" s="140"/>
      <c r="AB390" s="140"/>
      <c r="AC390" s="140"/>
      <c r="AD390" s="140"/>
      <c r="AE390" s="140" t="s">
        <v>130</v>
      </c>
      <c r="AF390" s="140">
        <v>0</v>
      </c>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1" x14ac:dyDescent="0.25">
      <c r="A391" s="141"/>
      <c r="B391" s="141"/>
      <c r="C391" s="179" t="s">
        <v>516</v>
      </c>
      <c r="D391" s="150"/>
      <c r="E391" s="155">
        <v>2.4</v>
      </c>
      <c r="F391" s="158"/>
      <c r="G391" s="158"/>
      <c r="H391" s="158"/>
      <c r="I391" s="158"/>
      <c r="J391" s="158"/>
      <c r="K391" s="158"/>
      <c r="L391" s="158"/>
      <c r="M391" s="158"/>
      <c r="N391" s="148"/>
      <c r="O391" s="148"/>
      <c r="P391" s="148"/>
      <c r="Q391" s="148"/>
      <c r="R391" s="148"/>
      <c r="S391" s="148"/>
      <c r="T391" s="149"/>
      <c r="U391" s="148"/>
      <c r="V391" s="140"/>
      <c r="W391" s="140"/>
      <c r="X391" s="140"/>
      <c r="Y391" s="140"/>
      <c r="Z391" s="140"/>
      <c r="AA391" s="140"/>
      <c r="AB391" s="140"/>
      <c r="AC391" s="140"/>
      <c r="AD391" s="140"/>
      <c r="AE391" s="140" t="s">
        <v>130</v>
      </c>
      <c r="AF391" s="140">
        <v>0</v>
      </c>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1" x14ac:dyDescent="0.25">
      <c r="A392" s="141"/>
      <c r="B392" s="141"/>
      <c r="C392" s="179" t="s">
        <v>517</v>
      </c>
      <c r="D392" s="150"/>
      <c r="E392" s="155">
        <v>1.4850000000000001</v>
      </c>
      <c r="F392" s="158"/>
      <c r="G392" s="158"/>
      <c r="H392" s="158"/>
      <c r="I392" s="158"/>
      <c r="J392" s="158"/>
      <c r="K392" s="158"/>
      <c r="L392" s="158"/>
      <c r="M392" s="158"/>
      <c r="N392" s="148"/>
      <c r="O392" s="148"/>
      <c r="P392" s="148"/>
      <c r="Q392" s="148"/>
      <c r="R392" s="148"/>
      <c r="S392" s="148"/>
      <c r="T392" s="149"/>
      <c r="U392" s="148"/>
      <c r="V392" s="140"/>
      <c r="W392" s="140"/>
      <c r="X392" s="140"/>
      <c r="Y392" s="140"/>
      <c r="Z392" s="140"/>
      <c r="AA392" s="140"/>
      <c r="AB392" s="140"/>
      <c r="AC392" s="140"/>
      <c r="AD392" s="140"/>
      <c r="AE392" s="140" t="s">
        <v>130</v>
      </c>
      <c r="AF392" s="140">
        <v>0</v>
      </c>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1" x14ac:dyDescent="0.25">
      <c r="A393" s="141"/>
      <c r="B393" s="141"/>
      <c r="C393" s="179" t="s">
        <v>518</v>
      </c>
      <c r="D393" s="150"/>
      <c r="E393" s="155">
        <v>67.06</v>
      </c>
      <c r="F393" s="158"/>
      <c r="G393" s="158"/>
      <c r="H393" s="158"/>
      <c r="I393" s="158"/>
      <c r="J393" s="158"/>
      <c r="K393" s="158"/>
      <c r="L393" s="158"/>
      <c r="M393" s="158"/>
      <c r="N393" s="148"/>
      <c r="O393" s="148"/>
      <c r="P393" s="148"/>
      <c r="Q393" s="148"/>
      <c r="R393" s="148"/>
      <c r="S393" s="148"/>
      <c r="T393" s="149"/>
      <c r="U393" s="148"/>
      <c r="V393" s="140"/>
      <c r="W393" s="140"/>
      <c r="X393" s="140"/>
      <c r="Y393" s="140"/>
      <c r="Z393" s="140"/>
      <c r="AA393" s="140"/>
      <c r="AB393" s="140"/>
      <c r="AC393" s="140"/>
      <c r="AD393" s="140"/>
      <c r="AE393" s="140" t="s">
        <v>130</v>
      </c>
      <c r="AF393" s="140">
        <v>0</v>
      </c>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outlineLevel="1" x14ac:dyDescent="0.25">
      <c r="A394" s="141"/>
      <c r="B394" s="141"/>
      <c r="C394" s="179" t="s">
        <v>519</v>
      </c>
      <c r="D394" s="150"/>
      <c r="E394" s="155">
        <v>60.55</v>
      </c>
      <c r="F394" s="158"/>
      <c r="G394" s="158"/>
      <c r="H394" s="158"/>
      <c r="I394" s="158"/>
      <c r="J394" s="158"/>
      <c r="K394" s="158"/>
      <c r="L394" s="158"/>
      <c r="M394" s="158"/>
      <c r="N394" s="148"/>
      <c r="O394" s="148"/>
      <c r="P394" s="148"/>
      <c r="Q394" s="148"/>
      <c r="R394" s="148"/>
      <c r="S394" s="148"/>
      <c r="T394" s="149"/>
      <c r="U394" s="148"/>
      <c r="V394" s="140"/>
      <c r="W394" s="140"/>
      <c r="X394" s="140"/>
      <c r="Y394" s="140"/>
      <c r="Z394" s="140"/>
      <c r="AA394" s="140"/>
      <c r="AB394" s="140"/>
      <c r="AC394" s="140"/>
      <c r="AD394" s="140"/>
      <c r="AE394" s="140" t="s">
        <v>130</v>
      </c>
      <c r="AF394" s="140">
        <v>0</v>
      </c>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1" x14ac:dyDescent="0.25">
      <c r="A395" s="141"/>
      <c r="B395" s="141"/>
      <c r="C395" s="179" t="s">
        <v>520</v>
      </c>
      <c r="D395" s="150"/>
      <c r="E395" s="155">
        <v>55.244</v>
      </c>
      <c r="F395" s="158"/>
      <c r="G395" s="158"/>
      <c r="H395" s="158"/>
      <c r="I395" s="158"/>
      <c r="J395" s="158"/>
      <c r="K395" s="158"/>
      <c r="L395" s="158"/>
      <c r="M395" s="158"/>
      <c r="N395" s="148"/>
      <c r="O395" s="148"/>
      <c r="P395" s="148"/>
      <c r="Q395" s="148"/>
      <c r="R395" s="148"/>
      <c r="S395" s="148"/>
      <c r="T395" s="149"/>
      <c r="U395" s="148"/>
      <c r="V395" s="140"/>
      <c r="W395" s="140"/>
      <c r="X395" s="140"/>
      <c r="Y395" s="140"/>
      <c r="Z395" s="140"/>
      <c r="AA395" s="140"/>
      <c r="AB395" s="140"/>
      <c r="AC395" s="140"/>
      <c r="AD395" s="140"/>
      <c r="AE395" s="140" t="s">
        <v>130</v>
      </c>
      <c r="AF395" s="140">
        <v>0</v>
      </c>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1" x14ac:dyDescent="0.25">
      <c r="A396" s="141"/>
      <c r="B396" s="141"/>
      <c r="C396" s="179" t="s">
        <v>521</v>
      </c>
      <c r="D396" s="150"/>
      <c r="E396" s="155">
        <v>42.42</v>
      </c>
      <c r="F396" s="158"/>
      <c r="G396" s="158"/>
      <c r="H396" s="158"/>
      <c r="I396" s="158"/>
      <c r="J396" s="158"/>
      <c r="K396" s="158"/>
      <c r="L396" s="158"/>
      <c r="M396" s="158"/>
      <c r="N396" s="148"/>
      <c r="O396" s="148"/>
      <c r="P396" s="148"/>
      <c r="Q396" s="148"/>
      <c r="R396" s="148"/>
      <c r="S396" s="148"/>
      <c r="T396" s="149"/>
      <c r="U396" s="148"/>
      <c r="V396" s="140"/>
      <c r="W396" s="140"/>
      <c r="X396" s="140"/>
      <c r="Y396" s="140"/>
      <c r="Z396" s="140"/>
      <c r="AA396" s="140"/>
      <c r="AB396" s="140"/>
      <c r="AC396" s="140"/>
      <c r="AD396" s="140"/>
      <c r="AE396" s="140" t="s">
        <v>130</v>
      </c>
      <c r="AF396" s="140">
        <v>0</v>
      </c>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1" x14ac:dyDescent="0.25">
      <c r="A397" s="141"/>
      <c r="B397" s="141"/>
      <c r="C397" s="179" t="s">
        <v>522</v>
      </c>
      <c r="D397" s="150"/>
      <c r="E397" s="155">
        <v>-17.579999999999998</v>
      </c>
      <c r="F397" s="158"/>
      <c r="G397" s="158"/>
      <c r="H397" s="158"/>
      <c r="I397" s="158"/>
      <c r="J397" s="158"/>
      <c r="K397" s="158"/>
      <c r="L397" s="158"/>
      <c r="M397" s="158"/>
      <c r="N397" s="148"/>
      <c r="O397" s="148"/>
      <c r="P397" s="148"/>
      <c r="Q397" s="148"/>
      <c r="R397" s="148"/>
      <c r="S397" s="148"/>
      <c r="T397" s="149"/>
      <c r="U397" s="148"/>
      <c r="V397" s="140"/>
      <c r="W397" s="140"/>
      <c r="X397" s="140"/>
      <c r="Y397" s="140"/>
      <c r="Z397" s="140"/>
      <c r="AA397" s="140"/>
      <c r="AB397" s="140"/>
      <c r="AC397" s="140"/>
      <c r="AD397" s="140"/>
      <c r="AE397" s="140" t="s">
        <v>130</v>
      </c>
      <c r="AF397" s="140">
        <v>0</v>
      </c>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1" x14ac:dyDescent="0.25">
      <c r="A398" s="141"/>
      <c r="B398" s="141"/>
      <c r="C398" s="179" t="s">
        <v>523</v>
      </c>
      <c r="D398" s="150"/>
      <c r="E398" s="155">
        <v>5.39</v>
      </c>
      <c r="F398" s="158"/>
      <c r="G398" s="158"/>
      <c r="H398" s="158"/>
      <c r="I398" s="158"/>
      <c r="J398" s="158"/>
      <c r="K398" s="158"/>
      <c r="L398" s="158"/>
      <c r="M398" s="158"/>
      <c r="N398" s="148"/>
      <c r="O398" s="148"/>
      <c r="P398" s="148"/>
      <c r="Q398" s="148"/>
      <c r="R398" s="148"/>
      <c r="S398" s="148"/>
      <c r="T398" s="149"/>
      <c r="U398" s="148"/>
      <c r="V398" s="140"/>
      <c r="W398" s="140"/>
      <c r="X398" s="140"/>
      <c r="Y398" s="140"/>
      <c r="Z398" s="140"/>
      <c r="AA398" s="140"/>
      <c r="AB398" s="140"/>
      <c r="AC398" s="140"/>
      <c r="AD398" s="140"/>
      <c r="AE398" s="140" t="s">
        <v>130</v>
      </c>
      <c r="AF398" s="140">
        <v>0</v>
      </c>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1" x14ac:dyDescent="0.25">
      <c r="A399" s="141"/>
      <c r="B399" s="141"/>
      <c r="C399" s="179" t="s">
        <v>524</v>
      </c>
      <c r="D399" s="150"/>
      <c r="E399" s="155">
        <v>28.267499999999998</v>
      </c>
      <c r="F399" s="158"/>
      <c r="G399" s="158"/>
      <c r="H399" s="158"/>
      <c r="I399" s="158"/>
      <c r="J399" s="158"/>
      <c r="K399" s="158"/>
      <c r="L399" s="158"/>
      <c r="M399" s="158"/>
      <c r="N399" s="148"/>
      <c r="O399" s="148"/>
      <c r="P399" s="148"/>
      <c r="Q399" s="148"/>
      <c r="R399" s="148"/>
      <c r="S399" s="148"/>
      <c r="T399" s="149"/>
      <c r="U399" s="148"/>
      <c r="V399" s="140"/>
      <c r="W399" s="140"/>
      <c r="X399" s="140"/>
      <c r="Y399" s="140"/>
      <c r="Z399" s="140"/>
      <c r="AA399" s="140"/>
      <c r="AB399" s="140"/>
      <c r="AC399" s="140"/>
      <c r="AD399" s="140"/>
      <c r="AE399" s="140" t="s">
        <v>130</v>
      </c>
      <c r="AF399" s="140">
        <v>0</v>
      </c>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1" x14ac:dyDescent="0.25">
      <c r="A400" s="141">
        <v>139</v>
      </c>
      <c r="B400" s="141" t="s">
        <v>528</v>
      </c>
      <c r="C400" s="178" t="s">
        <v>529</v>
      </c>
      <c r="D400" s="147" t="s">
        <v>139</v>
      </c>
      <c r="E400" s="154">
        <v>394.17250000000001</v>
      </c>
      <c r="F400" s="157"/>
      <c r="G400" s="158">
        <f>ROUND(E400*F400,2)</f>
        <v>0</v>
      </c>
      <c r="H400" s="158"/>
      <c r="I400" s="158">
        <f>ROUND(E400*H400,2)</f>
        <v>0</v>
      </c>
      <c r="J400" s="158"/>
      <c r="K400" s="158">
        <f>ROUND(E400*J400,2)</f>
        <v>0</v>
      </c>
      <c r="L400" s="158">
        <v>21</v>
      </c>
      <c r="M400" s="158">
        <f>G400*(1+L400/100)</f>
        <v>0</v>
      </c>
      <c r="N400" s="148">
        <v>2.7999999999999998E-4</v>
      </c>
      <c r="O400" s="148">
        <f>ROUND(E400*N400,5)</f>
        <v>0.11037</v>
      </c>
      <c r="P400" s="148">
        <v>0</v>
      </c>
      <c r="Q400" s="148">
        <f>ROUND(E400*P400,5)</f>
        <v>0</v>
      </c>
      <c r="R400" s="148"/>
      <c r="S400" s="148"/>
      <c r="T400" s="149">
        <v>0.16897000000000001</v>
      </c>
      <c r="U400" s="148">
        <f>ROUND(E400*T400,2)</f>
        <v>66.599999999999994</v>
      </c>
      <c r="V400" s="140"/>
      <c r="W400" s="140"/>
      <c r="X400" s="140"/>
      <c r="Y400" s="140"/>
      <c r="Z400" s="140"/>
      <c r="AA400" s="140"/>
      <c r="AB400" s="140"/>
      <c r="AC400" s="140"/>
      <c r="AD400" s="140"/>
      <c r="AE400" s="140" t="s">
        <v>128</v>
      </c>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1" x14ac:dyDescent="0.25">
      <c r="A401" s="141"/>
      <c r="B401" s="141"/>
      <c r="C401" s="179" t="s">
        <v>259</v>
      </c>
      <c r="D401" s="150"/>
      <c r="E401" s="155">
        <v>88.146000000000001</v>
      </c>
      <c r="F401" s="158"/>
      <c r="G401" s="158"/>
      <c r="H401" s="158"/>
      <c r="I401" s="158"/>
      <c r="J401" s="158"/>
      <c r="K401" s="158"/>
      <c r="L401" s="158"/>
      <c r="M401" s="158"/>
      <c r="N401" s="148"/>
      <c r="O401" s="148"/>
      <c r="P401" s="148"/>
      <c r="Q401" s="148"/>
      <c r="R401" s="148"/>
      <c r="S401" s="148"/>
      <c r="T401" s="149"/>
      <c r="U401" s="148"/>
      <c r="V401" s="140"/>
      <c r="W401" s="140"/>
      <c r="X401" s="140"/>
      <c r="Y401" s="140"/>
      <c r="Z401" s="140"/>
      <c r="AA401" s="140"/>
      <c r="AB401" s="140"/>
      <c r="AC401" s="140"/>
      <c r="AD401" s="140"/>
      <c r="AE401" s="140" t="s">
        <v>130</v>
      </c>
      <c r="AF401" s="140">
        <v>0</v>
      </c>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outlineLevel="1" x14ac:dyDescent="0.25">
      <c r="A402" s="141"/>
      <c r="B402" s="141"/>
      <c r="C402" s="179" t="s">
        <v>515</v>
      </c>
      <c r="D402" s="150"/>
      <c r="E402" s="155">
        <v>70.064999999999998</v>
      </c>
      <c r="F402" s="158"/>
      <c r="G402" s="158"/>
      <c r="H402" s="158"/>
      <c r="I402" s="158"/>
      <c r="J402" s="158"/>
      <c r="K402" s="158"/>
      <c r="L402" s="158"/>
      <c r="M402" s="158"/>
      <c r="N402" s="148"/>
      <c r="O402" s="148"/>
      <c r="P402" s="148"/>
      <c r="Q402" s="148"/>
      <c r="R402" s="148"/>
      <c r="S402" s="148"/>
      <c r="T402" s="149"/>
      <c r="U402" s="148"/>
      <c r="V402" s="140"/>
      <c r="W402" s="140"/>
      <c r="X402" s="140"/>
      <c r="Y402" s="140"/>
      <c r="Z402" s="140"/>
      <c r="AA402" s="140"/>
      <c r="AB402" s="140"/>
      <c r="AC402" s="140"/>
      <c r="AD402" s="140"/>
      <c r="AE402" s="140" t="s">
        <v>130</v>
      </c>
      <c r="AF402" s="140">
        <v>0</v>
      </c>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1" x14ac:dyDescent="0.25">
      <c r="A403" s="141"/>
      <c r="B403" s="141"/>
      <c r="C403" s="179" t="s">
        <v>518</v>
      </c>
      <c r="D403" s="150"/>
      <c r="E403" s="155">
        <v>67.06</v>
      </c>
      <c r="F403" s="158"/>
      <c r="G403" s="158"/>
      <c r="H403" s="158"/>
      <c r="I403" s="158"/>
      <c r="J403" s="158"/>
      <c r="K403" s="158"/>
      <c r="L403" s="158"/>
      <c r="M403" s="158"/>
      <c r="N403" s="148"/>
      <c r="O403" s="148"/>
      <c r="P403" s="148"/>
      <c r="Q403" s="148"/>
      <c r="R403" s="148"/>
      <c r="S403" s="148"/>
      <c r="T403" s="149"/>
      <c r="U403" s="148"/>
      <c r="V403" s="140"/>
      <c r="W403" s="140"/>
      <c r="X403" s="140"/>
      <c r="Y403" s="140"/>
      <c r="Z403" s="140"/>
      <c r="AA403" s="140"/>
      <c r="AB403" s="140"/>
      <c r="AC403" s="140"/>
      <c r="AD403" s="140"/>
      <c r="AE403" s="140" t="s">
        <v>130</v>
      </c>
      <c r="AF403" s="140">
        <v>0</v>
      </c>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1" x14ac:dyDescent="0.25">
      <c r="A404" s="141"/>
      <c r="B404" s="141"/>
      <c r="C404" s="179" t="s">
        <v>519</v>
      </c>
      <c r="D404" s="150"/>
      <c r="E404" s="155">
        <v>60.55</v>
      </c>
      <c r="F404" s="158"/>
      <c r="G404" s="158"/>
      <c r="H404" s="158"/>
      <c r="I404" s="158"/>
      <c r="J404" s="158"/>
      <c r="K404" s="158"/>
      <c r="L404" s="158"/>
      <c r="M404" s="158"/>
      <c r="N404" s="148"/>
      <c r="O404" s="148"/>
      <c r="P404" s="148"/>
      <c r="Q404" s="148"/>
      <c r="R404" s="148"/>
      <c r="S404" s="148"/>
      <c r="T404" s="149"/>
      <c r="U404" s="148"/>
      <c r="V404" s="140"/>
      <c r="W404" s="140"/>
      <c r="X404" s="140"/>
      <c r="Y404" s="140"/>
      <c r="Z404" s="140"/>
      <c r="AA404" s="140"/>
      <c r="AB404" s="140"/>
      <c r="AC404" s="140"/>
      <c r="AD404" s="140"/>
      <c r="AE404" s="140" t="s">
        <v>130</v>
      </c>
      <c r="AF404" s="140">
        <v>0</v>
      </c>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1" x14ac:dyDescent="0.25">
      <c r="A405" s="141"/>
      <c r="B405" s="141"/>
      <c r="C405" s="179" t="s">
        <v>520</v>
      </c>
      <c r="D405" s="150"/>
      <c r="E405" s="155">
        <v>55.244</v>
      </c>
      <c r="F405" s="158"/>
      <c r="G405" s="158"/>
      <c r="H405" s="158"/>
      <c r="I405" s="158"/>
      <c r="J405" s="158"/>
      <c r="K405" s="158"/>
      <c r="L405" s="158"/>
      <c r="M405" s="158"/>
      <c r="N405" s="148"/>
      <c r="O405" s="148"/>
      <c r="P405" s="148"/>
      <c r="Q405" s="148"/>
      <c r="R405" s="148"/>
      <c r="S405" s="148"/>
      <c r="T405" s="149"/>
      <c r="U405" s="148"/>
      <c r="V405" s="140"/>
      <c r="W405" s="140"/>
      <c r="X405" s="140"/>
      <c r="Y405" s="140"/>
      <c r="Z405" s="140"/>
      <c r="AA405" s="140"/>
      <c r="AB405" s="140"/>
      <c r="AC405" s="140"/>
      <c r="AD405" s="140"/>
      <c r="AE405" s="140" t="s">
        <v>130</v>
      </c>
      <c r="AF405" s="140">
        <v>0</v>
      </c>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1" x14ac:dyDescent="0.25">
      <c r="A406" s="141"/>
      <c r="B406" s="141"/>
      <c r="C406" s="179" t="s">
        <v>521</v>
      </c>
      <c r="D406" s="150"/>
      <c r="E406" s="155">
        <v>42.42</v>
      </c>
      <c r="F406" s="158"/>
      <c r="G406" s="158"/>
      <c r="H406" s="158"/>
      <c r="I406" s="158"/>
      <c r="J406" s="158"/>
      <c r="K406" s="158"/>
      <c r="L406" s="158"/>
      <c r="M406" s="158"/>
      <c r="N406" s="148"/>
      <c r="O406" s="148"/>
      <c r="P406" s="148"/>
      <c r="Q406" s="148"/>
      <c r="R406" s="148"/>
      <c r="S406" s="148"/>
      <c r="T406" s="149"/>
      <c r="U406" s="148"/>
      <c r="V406" s="140"/>
      <c r="W406" s="140"/>
      <c r="X406" s="140"/>
      <c r="Y406" s="140"/>
      <c r="Z406" s="140"/>
      <c r="AA406" s="140"/>
      <c r="AB406" s="140"/>
      <c r="AC406" s="140"/>
      <c r="AD406" s="140"/>
      <c r="AE406" s="140" t="s">
        <v>130</v>
      </c>
      <c r="AF406" s="140">
        <v>0</v>
      </c>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1" x14ac:dyDescent="0.25">
      <c r="A407" s="141"/>
      <c r="B407" s="141"/>
      <c r="C407" s="179" t="s">
        <v>522</v>
      </c>
      <c r="D407" s="150"/>
      <c r="E407" s="155">
        <v>-17.579999999999998</v>
      </c>
      <c r="F407" s="158"/>
      <c r="G407" s="158"/>
      <c r="H407" s="158"/>
      <c r="I407" s="158"/>
      <c r="J407" s="158"/>
      <c r="K407" s="158"/>
      <c r="L407" s="158"/>
      <c r="M407" s="158"/>
      <c r="N407" s="148"/>
      <c r="O407" s="148"/>
      <c r="P407" s="148"/>
      <c r="Q407" s="148"/>
      <c r="R407" s="148"/>
      <c r="S407" s="148"/>
      <c r="T407" s="149"/>
      <c r="U407" s="148"/>
      <c r="V407" s="140"/>
      <c r="W407" s="140"/>
      <c r="X407" s="140"/>
      <c r="Y407" s="140"/>
      <c r="Z407" s="140"/>
      <c r="AA407" s="140"/>
      <c r="AB407" s="140"/>
      <c r="AC407" s="140"/>
      <c r="AD407" s="140"/>
      <c r="AE407" s="140" t="s">
        <v>130</v>
      </c>
      <c r="AF407" s="140">
        <v>0</v>
      </c>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1" x14ac:dyDescent="0.25">
      <c r="A408" s="141"/>
      <c r="B408" s="141"/>
      <c r="C408" s="179" t="s">
        <v>524</v>
      </c>
      <c r="D408" s="150"/>
      <c r="E408" s="155">
        <v>28.267499999999998</v>
      </c>
      <c r="F408" s="158"/>
      <c r="G408" s="158"/>
      <c r="H408" s="158"/>
      <c r="I408" s="158"/>
      <c r="J408" s="158"/>
      <c r="K408" s="158"/>
      <c r="L408" s="158"/>
      <c r="M408" s="158"/>
      <c r="N408" s="148"/>
      <c r="O408" s="148"/>
      <c r="P408" s="148"/>
      <c r="Q408" s="148"/>
      <c r="R408" s="148"/>
      <c r="S408" s="148"/>
      <c r="T408" s="149"/>
      <c r="U408" s="148"/>
      <c r="V408" s="140"/>
      <c r="W408" s="140"/>
      <c r="X408" s="140"/>
      <c r="Y408" s="140"/>
      <c r="Z408" s="140"/>
      <c r="AA408" s="140"/>
      <c r="AB408" s="140"/>
      <c r="AC408" s="140"/>
      <c r="AD408" s="140"/>
      <c r="AE408" s="140" t="s">
        <v>130</v>
      </c>
      <c r="AF408" s="140">
        <v>0</v>
      </c>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x14ac:dyDescent="0.25">
      <c r="A409" s="142" t="s">
        <v>123</v>
      </c>
      <c r="B409" s="142" t="s">
        <v>94</v>
      </c>
      <c r="C409" s="180" t="s">
        <v>95</v>
      </c>
      <c r="D409" s="151"/>
      <c r="E409" s="156"/>
      <c r="F409" s="159"/>
      <c r="G409" s="159">
        <f>SUMIF(AE410:AE411,"&lt;&gt;NOR",G410:G411)</f>
        <v>0</v>
      </c>
      <c r="H409" s="159"/>
      <c r="I409" s="159">
        <f>SUM(I410:I411)</f>
        <v>0</v>
      </c>
      <c r="J409" s="159"/>
      <c r="K409" s="159">
        <f>SUM(K410:K411)</f>
        <v>0</v>
      </c>
      <c r="L409" s="159"/>
      <c r="M409" s="159">
        <f>SUM(M410:M411)</f>
        <v>0</v>
      </c>
      <c r="N409" s="152"/>
      <c r="O409" s="152">
        <f>SUM(O410:O411)</f>
        <v>0</v>
      </c>
      <c r="P409" s="152"/>
      <c r="Q409" s="152">
        <f>SUM(Q410:Q411)</f>
        <v>0</v>
      </c>
      <c r="R409" s="152"/>
      <c r="S409" s="152"/>
      <c r="T409" s="153"/>
      <c r="U409" s="152">
        <f>SUM(U410:U411)</f>
        <v>0</v>
      </c>
      <c r="AE409" t="s">
        <v>124</v>
      </c>
    </row>
    <row r="410" spans="1:60" ht="20" outlineLevel="1" x14ac:dyDescent="0.25">
      <c r="A410" s="141">
        <v>140</v>
      </c>
      <c r="B410" s="141" t="s">
        <v>530</v>
      </c>
      <c r="C410" s="178" t="s">
        <v>531</v>
      </c>
      <c r="D410" s="147" t="s">
        <v>136</v>
      </c>
      <c r="E410" s="154">
        <v>3</v>
      </c>
      <c r="F410" s="157"/>
      <c r="G410" s="158">
        <f>ROUND(E410*F410,2)</f>
        <v>0</v>
      </c>
      <c r="H410" s="158"/>
      <c r="I410" s="158">
        <f>ROUND(E410*H410,2)</f>
        <v>0</v>
      </c>
      <c r="J410" s="158"/>
      <c r="K410" s="158">
        <f>ROUND(E410*J410,2)</f>
        <v>0</v>
      </c>
      <c r="L410" s="158">
        <v>21</v>
      </c>
      <c r="M410" s="158">
        <f>G410*(1+L410/100)</f>
        <v>0</v>
      </c>
      <c r="N410" s="148">
        <v>0</v>
      </c>
      <c r="O410" s="148">
        <f>ROUND(E410*N410,5)</f>
        <v>0</v>
      </c>
      <c r="P410" s="148">
        <v>0</v>
      </c>
      <c r="Q410" s="148">
        <f>ROUND(E410*P410,5)</f>
        <v>0</v>
      </c>
      <c r="R410" s="148"/>
      <c r="S410" s="148"/>
      <c r="T410" s="149">
        <v>0</v>
      </c>
      <c r="U410" s="148">
        <f>ROUND(E410*T410,2)</f>
        <v>0</v>
      </c>
      <c r="V410" s="140"/>
      <c r="W410" s="140"/>
      <c r="X410" s="140"/>
      <c r="Y410" s="140"/>
      <c r="Z410" s="140"/>
      <c r="AA410" s="140"/>
      <c r="AB410" s="140"/>
      <c r="AC410" s="140"/>
      <c r="AD410" s="140"/>
      <c r="AE410" s="140" t="s">
        <v>128</v>
      </c>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outlineLevel="1" x14ac:dyDescent="0.25">
      <c r="A411" s="168"/>
      <c r="B411" s="168"/>
      <c r="C411" s="181" t="s">
        <v>54</v>
      </c>
      <c r="D411" s="169"/>
      <c r="E411" s="170">
        <v>3</v>
      </c>
      <c r="F411" s="171"/>
      <c r="G411" s="171"/>
      <c r="H411" s="171"/>
      <c r="I411" s="171"/>
      <c r="J411" s="171"/>
      <c r="K411" s="171"/>
      <c r="L411" s="171"/>
      <c r="M411" s="171"/>
      <c r="N411" s="172"/>
      <c r="O411" s="172"/>
      <c r="P411" s="172"/>
      <c r="Q411" s="172"/>
      <c r="R411" s="172"/>
      <c r="S411" s="172"/>
      <c r="T411" s="173"/>
      <c r="U411" s="172"/>
      <c r="V411" s="140"/>
      <c r="W411" s="140"/>
      <c r="X411" s="140"/>
      <c r="Y411" s="140"/>
      <c r="Z411" s="140"/>
      <c r="AA411" s="140"/>
      <c r="AB411" s="140"/>
      <c r="AC411" s="140"/>
      <c r="AD411" s="140"/>
      <c r="AE411" s="140" t="s">
        <v>130</v>
      </c>
      <c r="AF411" s="140">
        <v>0</v>
      </c>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x14ac:dyDescent="0.25">
      <c r="A412" s="142" t="s">
        <v>123</v>
      </c>
      <c r="B412" s="189">
        <v>790</v>
      </c>
      <c r="C412" s="180" t="s">
        <v>537</v>
      </c>
      <c r="D412" s="151"/>
      <c r="E412" s="156"/>
      <c r="F412" s="159"/>
      <c r="G412" s="159">
        <f>SUM(G413:G425)</f>
        <v>0</v>
      </c>
      <c r="H412" s="159"/>
      <c r="I412" s="159">
        <f>SUM(I413:I413)</f>
        <v>0</v>
      </c>
      <c r="J412" s="159"/>
      <c r="K412" s="159">
        <f>SUM(K413:K413)</f>
        <v>0</v>
      </c>
      <c r="L412" s="159"/>
      <c r="M412" s="159">
        <f>SUM(M413:M413)</f>
        <v>0</v>
      </c>
      <c r="N412" s="152"/>
      <c r="O412" s="152">
        <f>SUM(O413:O413)</f>
        <v>0</v>
      </c>
      <c r="P412" s="152"/>
      <c r="Q412" s="152">
        <f>SUM(Q413:Q413)</f>
        <v>0</v>
      </c>
      <c r="R412" s="152"/>
      <c r="S412" s="152"/>
      <c r="T412" s="153"/>
      <c r="U412" s="152">
        <f>SUM(U413:U413)</f>
        <v>0</v>
      </c>
      <c r="AE412" t="s">
        <v>124</v>
      </c>
    </row>
    <row r="413" spans="1:60" outlineLevel="1" x14ac:dyDescent="0.25">
      <c r="A413" s="141">
        <v>141</v>
      </c>
      <c r="B413" s="178" t="s">
        <v>553</v>
      </c>
      <c r="C413" s="178" t="s">
        <v>538</v>
      </c>
      <c r="D413" s="147" t="s">
        <v>136</v>
      </c>
      <c r="E413" s="185">
        <v>2</v>
      </c>
      <c r="F413" s="157"/>
      <c r="G413" s="158">
        <f>ROUND(E413*F413,2)</f>
        <v>0</v>
      </c>
      <c r="H413" s="158"/>
      <c r="I413" s="158">
        <f>ROUND(E413*H413,2)</f>
        <v>0</v>
      </c>
      <c r="J413" s="158"/>
      <c r="K413" s="158">
        <f>ROUND(E413*J413,2)</f>
        <v>0</v>
      </c>
      <c r="L413" s="158">
        <v>21</v>
      </c>
      <c r="M413" s="158">
        <f>G413*(1+L413/100)</f>
        <v>0</v>
      </c>
      <c r="N413" s="148">
        <v>0</v>
      </c>
      <c r="O413" s="148">
        <f>ROUND(E413*N413,5)</f>
        <v>0</v>
      </c>
      <c r="P413" s="148">
        <v>0</v>
      </c>
      <c r="Q413" s="148">
        <f>ROUND(E413*P413,5)</f>
        <v>0</v>
      </c>
      <c r="R413" s="148"/>
      <c r="S413" s="148"/>
      <c r="T413" s="149">
        <v>0</v>
      </c>
      <c r="U413" s="148">
        <f>ROUND(E413*T413,2)</f>
        <v>0</v>
      </c>
      <c r="V413" s="140"/>
      <c r="W413" s="140"/>
      <c r="X413" s="140"/>
      <c r="Y413" s="140"/>
      <c r="Z413" s="140"/>
      <c r="AA413" s="140"/>
      <c r="AB413" s="140"/>
      <c r="AC413" s="140"/>
      <c r="AD413" s="140"/>
      <c r="AE413" s="140" t="s">
        <v>128</v>
      </c>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x14ac:dyDescent="0.25">
      <c r="A414" s="141">
        <v>142</v>
      </c>
      <c r="B414" s="178" t="s">
        <v>554</v>
      </c>
      <c r="C414" s="178" t="s">
        <v>540</v>
      </c>
      <c r="D414" s="147" t="s">
        <v>136</v>
      </c>
      <c r="E414" s="185">
        <v>1</v>
      </c>
      <c r="F414" s="157"/>
      <c r="G414" s="158">
        <f t="shared" ref="G414:G425" si="0">ROUND(E414*F414,2)</f>
        <v>0</v>
      </c>
      <c r="H414" s="158"/>
      <c r="I414" s="158">
        <f t="shared" ref="I414:I425" si="1">ROUND(E414*H414,2)</f>
        <v>0</v>
      </c>
      <c r="J414" s="158"/>
      <c r="K414" s="158">
        <f t="shared" ref="K414:K425" si="2">ROUND(E414*J414,2)</f>
        <v>0</v>
      </c>
      <c r="L414" s="158">
        <v>22</v>
      </c>
      <c r="M414" s="158">
        <f t="shared" ref="M414:M425" si="3">G414*(1+L414/100)</f>
        <v>0</v>
      </c>
      <c r="N414" s="148"/>
      <c r="O414" s="148"/>
      <c r="P414" s="148"/>
      <c r="Q414" s="148"/>
      <c r="R414" s="4"/>
      <c r="S414" s="4"/>
      <c r="T414" s="4"/>
      <c r="U414" s="4"/>
    </row>
    <row r="415" spans="1:60" x14ac:dyDescent="0.25">
      <c r="A415" s="141">
        <v>143</v>
      </c>
      <c r="B415" s="178" t="s">
        <v>555</v>
      </c>
      <c r="C415" s="178" t="s">
        <v>541</v>
      </c>
      <c r="D415" s="147" t="s">
        <v>136</v>
      </c>
      <c r="E415" s="185">
        <v>1</v>
      </c>
      <c r="F415" s="157"/>
      <c r="G415" s="158">
        <f t="shared" si="0"/>
        <v>0</v>
      </c>
      <c r="H415" s="158"/>
      <c r="I415" s="158">
        <f t="shared" si="1"/>
        <v>0</v>
      </c>
      <c r="J415" s="158"/>
      <c r="K415" s="158">
        <f t="shared" si="2"/>
        <v>0</v>
      </c>
      <c r="L415" s="158">
        <v>23</v>
      </c>
      <c r="M415" s="158">
        <f t="shared" si="3"/>
        <v>0</v>
      </c>
      <c r="N415" s="148"/>
      <c r="O415" s="148"/>
      <c r="P415" s="148"/>
      <c r="Q415" s="148"/>
      <c r="R415" s="4"/>
      <c r="S415" s="4"/>
      <c r="T415" s="4"/>
      <c r="U415" s="4"/>
    </row>
    <row r="416" spans="1:60" ht="20" x14ac:dyDescent="0.25">
      <c r="A416" s="141">
        <v>144</v>
      </c>
      <c r="B416" s="178" t="s">
        <v>556</v>
      </c>
      <c r="C416" s="178" t="s">
        <v>542</v>
      </c>
      <c r="D416" s="147" t="s">
        <v>136</v>
      </c>
      <c r="E416" s="185">
        <v>1</v>
      </c>
      <c r="F416" s="157"/>
      <c r="G416" s="158">
        <f t="shared" si="0"/>
        <v>0</v>
      </c>
      <c r="H416" s="158"/>
      <c r="I416" s="158">
        <f t="shared" si="1"/>
        <v>0</v>
      </c>
      <c r="J416" s="158"/>
      <c r="K416" s="158">
        <f t="shared" si="2"/>
        <v>0</v>
      </c>
      <c r="L416" s="158">
        <v>24</v>
      </c>
      <c r="M416" s="158">
        <f t="shared" si="3"/>
        <v>0</v>
      </c>
      <c r="N416" s="148"/>
      <c r="O416" s="148"/>
      <c r="P416" s="148"/>
      <c r="Q416" s="148"/>
      <c r="R416" s="4"/>
      <c r="S416" s="4"/>
      <c r="T416" s="4"/>
      <c r="U416" s="4"/>
    </row>
    <row r="417" spans="1:31" x14ac:dyDescent="0.25">
      <c r="A417" s="141">
        <v>145</v>
      </c>
      <c r="B417" s="178" t="s">
        <v>557</v>
      </c>
      <c r="C417" s="178" t="s">
        <v>543</v>
      </c>
      <c r="D417" s="147" t="s">
        <v>136</v>
      </c>
      <c r="E417" s="185">
        <v>1</v>
      </c>
      <c r="F417" s="157"/>
      <c r="G417" s="158">
        <f t="shared" si="0"/>
        <v>0</v>
      </c>
      <c r="H417" s="158"/>
      <c r="I417" s="158">
        <f t="shared" si="1"/>
        <v>0</v>
      </c>
      <c r="J417" s="158"/>
      <c r="K417" s="158">
        <f t="shared" si="2"/>
        <v>0</v>
      </c>
      <c r="L417" s="158">
        <v>25</v>
      </c>
      <c r="M417" s="158">
        <f t="shared" si="3"/>
        <v>0</v>
      </c>
      <c r="N417" s="148"/>
      <c r="O417" s="148"/>
      <c r="P417" s="148"/>
      <c r="Q417" s="148"/>
      <c r="R417" s="4"/>
      <c r="S417" s="4"/>
      <c r="T417" s="4"/>
      <c r="U417" s="4"/>
    </row>
    <row r="418" spans="1:31" x14ac:dyDescent="0.25">
      <c r="A418" s="141">
        <v>146</v>
      </c>
      <c r="B418" s="178" t="s">
        <v>558</v>
      </c>
      <c r="C418" s="178" t="s">
        <v>544</v>
      </c>
      <c r="D418" s="147" t="s">
        <v>136</v>
      </c>
      <c r="E418" s="185">
        <v>2</v>
      </c>
      <c r="F418" s="157"/>
      <c r="G418" s="158">
        <f t="shared" si="0"/>
        <v>0</v>
      </c>
      <c r="H418" s="158"/>
      <c r="I418" s="158">
        <f t="shared" si="1"/>
        <v>0</v>
      </c>
      <c r="J418" s="158"/>
      <c r="K418" s="158">
        <f t="shared" si="2"/>
        <v>0</v>
      </c>
      <c r="L418" s="158">
        <v>26</v>
      </c>
      <c r="M418" s="158">
        <f t="shared" si="3"/>
        <v>0</v>
      </c>
      <c r="N418" s="148"/>
      <c r="O418" s="148"/>
      <c r="P418" s="148"/>
      <c r="Q418" s="148"/>
      <c r="R418" s="4"/>
      <c r="S418" s="4"/>
      <c r="T418" s="4"/>
      <c r="U418" s="4"/>
    </row>
    <row r="419" spans="1:31" x14ac:dyDescent="0.25">
      <c r="A419" s="141">
        <v>147</v>
      </c>
      <c r="B419" s="178" t="s">
        <v>559</v>
      </c>
      <c r="C419" s="178" t="s">
        <v>545</v>
      </c>
      <c r="D419" s="147" t="s">
        <v>136</v>
      </c>
      <c r="E419" s="185">
        <v>3</v>
      </c>
      <c r="F419" s="157"/>
      <c r="G419" s="158">
        <f t="shared" si="0"/>
        <v>0</v>
      </c>
      <c r="H419" s="158"/>
      <c r="I419" s="158">
        <f t="shared" si="1"/>
        <v>0</v>
      </c>
      <c r="J419" s="158"/>
      <c r="K419" s="158">
        <f t="shared" si="2"/>
        <v>0</v>
      </c>
      <c r="L419" s="158">
        <v>27</v>
      </c>
      <c r="M419" s="158">
        <f t="shared" si="3"/>
        <v>0</v>
      </c>
      <c r="N419" s="148"/>
      <c r="O419" s="148"/>
      <c r="P419" s="148"/>
      <c r="Q419" s="148"/>
      <c r="R419" s="4"/>
      <c r="S419" s="4"/>
      <c r="T419" s="4"/>
      <c r="U419" s="4"/>
    </row>
    <row r="420" spans="1:31" x14ac:dyDescent="0.25">
      <c r="A420" s="141">
        <v>148</v>
      </c>
      <c r="B420" s="178" t="s">
        <v>560</v>
      </c>
      <c r="C420" s="178" t="s">
        <v>546</v>
      </c>
      <c r="D420" s="147" t="s">
        <v>136</v>
      </c>
      <c r="E420" s="185">
        <v>3</v>
      </c>
      <c r="F420" s="157"/>
      <c r="G420" s="158">
        <f t="shared" si="0"/>
        <v>0</v>
      </c>
      <c r="H420" s="158"/>
      <c r="I420" s="158">
        <f t="shared" si="1"/>
        <v>0</v>
      </c>
      <c r="J420" s="158"/>
      <c r="K420" s="158">
        <f t="shared" si="2"/>
        <v>0</v>
      </c>
      <c r="L420" s="158">
        <v>28</v>
      </c>
      <c r="M420" s="158">
        <f t="shared" si="3"/>
        <v>0</v>
      </c>
      <c r="N420" s="148"/>
      <c r="O420" s="148"/>
      <c r="P420" s="148"/>
      <c r="Q420" s="148"/>
      <c r="R420" s="4"/>
      <c r="S420" s="4"/>
      <c r="T420" s="4"/>
      <c r="U420" s="4"/>
    </row>
    <row r="421" spans="1:31" x14ac:dyDescent="0.25">
      <c r="A421" s="141">
        <v>149</v>
      </c>
      <c r="B421" s="178" t="s">
        <v>561</v>
      </c>
      <c r="C421" s="178" t="s">
        <v>547</v>
      </c>
      <c r="D421" s="147" t="s">
        <v>136</v>
      </c>
      <c r="E421" s="185">
        <v>1</v>
      </c>
      <c r="F421" s="157"/>
      <c r="G421" s="158">
        <f t="shared" si="0"/>
        <v>0</v>
      </c>
      <c r="H421" s="158"/>
      <c r="I421" s="158">
        <f t="shared" si="1"/>
        <v>0</v>
      </c>
      <c r="J421" s="158"/>
      <c r="K421" s="158">
        <f t="shared" si="2"/>
        <v>0</v>
      </c>
      <c r="L421" s="158">
        <v>29</v>
      </c>
      <c r="M421" s="158">
        <f t="shared" si="3"/>
        <v>0</v>
      </c>
      <c r="N421" s="148"/>
      <c r="O421" s="148"/>
      <c r="P421" s="148"/>
      <c r="Q421" s="148"/>
      <c r="R421" s="4"/>
      <c r="S421" s="4"/>
      <c r="T421" s="4"/>
      <c r="U421" s="4"/>
    </row>
    <row r="422" spans="1:31" x14ac:dyDescent="0.25">
      <c r="A422" s="141">
        <v>150</v>
      </c>
      <c r="B422" s="178" t="s">
        <v>562</v>
      </c>
      <c r="C422" s="178" t="s">
        <v>548</v>
      </c>
      <c r="D422" s="147" t="s">
        <v>136</v>
      </c>
      <c r="E422" s="185">
        <v>1</v>
      </c>
      <c r="F422" s="157"/>
      <c r="G422" s="158">
        <f t="shared" si="0"/>
        <v>0</v>
      </c>
      <c r="H422" s="158"/>
      <c r="I422" s="158">
        <f t="shared" si="1"/>
        <v>0</v>
      </c>
      <c r="J422" s="158"/>
      <c r="K422" s="158">
        <f t="shared" si="2"/>
        <v>0</v>
      </c>
      <c r="L422" s="158">
        <v>30</v>
      </c>
      <c r="M422" s="158">
        <f t="shared" si="3"/>
        <v>0</v>
      </c>
      <c r="N422" s="148"/>
      <c r="O422" s="148"/>
      <c r="P422" s="148"/>
      <c r="Q422" s="148"/>
      <c r="R422" s="4"/>
      <c r="S422" s="4"/>
      <c r="T422" s="4"/>
      <c r="U422" s="4"/>
    </row>
    <row r="423" spans="1:31" x14ac:dyDescent="0.25">
      <c r="A423" s="141">
        <v>151</v>
      </c>
      <c r="B423" s="178" t="s">
        <v>563</v>
      </c>
      <c r="C423" s="178" t="s">
        <v>549</v>
      </c>
      <c r="D423" s="147" t="s">
        <v>139</v>
      </c>
      <c r="E423" s="185">
        <v>16</v>
      </c>
      <c r="F423" s="157"/>
      <c r="G423" s="158">
        <f t="shared" si="0"/>
        <v>0</v>
      </c>
      <c r="H423" s="158"/>
      <c r="I423" s="158">
        <f t="shared" si="1"/>
        <v>0</v>
      </c>
      <c r="J423" s="158"/>
      <c r="K423" s="158">
        <f t="shared" si="2"/>
        <v>0</v>
      </c>
      <c r="L423" s="158">
        <v>31</v>
      </c>
      <c r="M423" s="158">
        <f t="shared" si="3"/>
        <v>0</v>
      </c>
      <c r="N423" s="148"/>
      <c r="O423" s="148"/>
      <c r="P423" s="148"/>
      <c r="Q423" s="148"/>
      <c r="R423" s="4"/>
      <c r="S423" s="4"/>
      <c r="T423" s="4"/>
      <c r="U423" s="4"/>
    </row>
    <row r="424" spans="1:31" x14ac:dyDescent="0.25">
      <c r="A424" s="141">
        <v>152</v>
      </c>
      <c r="B424" s="178" t="s">
        <v>564</v>
      </c>
      <c r="C424" s="178" t="s">
        <v>550</v>
      </c>
      <c r="D424" s="147" t="s">
        <v>139</v>
      </c>
      <c r="E424" s="185">
        <v>3</v>
      </c>
      <c r="F424" s="157"/>
      <c r="G424" s="158">
        <f t="shared" si="0"/>
        <v>0</v>
      </c>
      <c r="H424" s="158"/>
      <c r="I424" s="158">
        <f t="shared" si="1"/>
        <v>0</v>
      </c>
      <c r="J424" s="158"/>
      <c r="K424" s="158">
        <f t="shared" si="2"/>
        <v>0</v>
      </c>
      <c r="L424" s="158">
        <v>32</v>
      </c>
      <c r="M424" s="158">
        <f t="shared" si="3"/>
        <v>0</v>
      </c>
      <c r="N424" s="148"/>
      <c r="O424" s="148"/>
      <c r="P424" s="148"/>
      <c r="Q424" s="148"/>
      <c r="R424" s="4"/>
      <c r="S424" s="4"/>
      <c r="T424" s="4"/>
      <c r="U424" s="4"/>
    </row>
    <row r="425" spans="1:31" x14ac:dyDescent="0.25">
      <c r="A425" s="168">
        <v>153</v>
      </c>
      <c r="B425" s="186" t="s">
        <v>565</v>
      </c>
      <c r="C425" s="186" t="s">
        <v>551</v>
      </c>
      <c r="D425" s="187" t="s">
        <v>552</v>
      </c>
      <c r="E425" s="318">
        <v>24</v>
      </c>
      <c r="F425" s="188"/>
      <c r="G425" s="171">
        <f t="shared" si="0"/>
        <v>0</v>
      </c>
      <c r="H425" s="171"/>
      <c r="I425" s="171">
        <f t="shared" si="1"/>
        <v>0</v>
      </c>
      <c r="J425" s="171"/>
      <c r="K425" s="171">
        <f t="shared" si="2"/>
        <v>0</v>
      </c>
      <c r="L425" s="171">
        <v>33</v>
      </c>
      <c r="M425" s="171">
        <f t="shared" si="3"/>
        <v>0</v>
      </c>
      <c r="N425" s="172"/>
      <c r="O425" s="172"/>
      <c r="P425" s="172"/>
      <c r="Q425" s="172"/>
      <c r="R425" s="4"/>
      <c r="S425" s="4"/>
      <c r="T425" s="4"/>
      <c r="U425" s="4"/>
    </row>
    <row r="426" spans="1:31" x14ac:dyDescent="0.25">
      <c r="A426" s="4"/>
      <c r="B426" s="5"/>
      <c r="C426" s="182"/>
      <c r="D426" s="4"/>
      <c r="E426" s="4"/>
      <c r="F426" s="4"/>
      <c r="G426" s="4"/>
      <c r="H426" s="4"/>
      <c r="I426" s="4"/>
      <c r="J426" s="4"/>
      <c r="K426" s="4"/>
      <c r="L426" s="4"/>
      <c r="M426" s="4"/>
      <c r="N426" s="4"/>
      <c r="O426" s="4"/>
      <c r="P426" s="4"/>
      <c r="Q426" s="4"/>
      <c r="R426" s="4"/>
      <c r="S426" s="4"/>
      <c r="T426" s="4"/>
      <c r="U426" s="4"/>
    </row>
    <row r="427" spans="1:31" x14ac:dyDescent="0.25">
      <c r="A427" s="4"/>
      <c r="B427" s="5"/>
      <c r="C427" s="182"/>
      <c r="D427" s="4"/>
      <c r="E427" s="4"/>
      <c r="F427" s="4"/>
      <c r="G427" s="4"/>
      <c r="H427" s="4"/>
      <c r="I427" s="4"/>
      <c r="J427" s="4"/>
      <c r="K427" s="4"/>
      <c r="L427" s="4"/>
      <c r="M427" s="4"/>
      <c r="N427" s="4"/>
      <c r="O427" s="4"/>
      <c r="P427" s="4"/>
      <c r="Q427" s="4"/>
      <c r="R427" s="4"/>
      <c r="S427" s="4"/>
      <c r="T427" s="4"/>
      <c r="U427" s="4"/>
    </row>
    <row r="428" spans="1:31" ht="13" x14ac:dyDescent="0.25">
      <c r="A428" s="174"/>
      <c r="B428" s="175" t="s">
        <v>28</v>
      </c>
      <c r="C428" s="183" t="s">
        <v>532</v>
      </c>
      <c r="D428" s="176"/>
      <c r="E428" s="176"/>
      <c r="F428" s="176"/>
      <c r="G428" s="177">
        <f>G8+G13+G20+G39+G75+G82+G86+G94+G138+G166+G169+G185+G191+G196+G237+G279+G308+G328+G346+G362+G372+G409+G412</f>
        <v>0</v>
      </c>
      <c r="H428" s="4"/>
      <c r="I428" s="4"/>
      <c r="J428" s="4"/>
      <c r="K428" s="4"/>
      <c r="L428" s="4"/>
      <c r="M428" s="4"/>
      <c r="N428" s="4"/>
      <c r="O428" s="4"/>
      <c r="P428" s="4"/>
      <c r="Q428" s="4"/>
      <c r="R428" s="4"/>
      <c r="S428" s="4"/>
      <c r="T428" s="4"/>
      <c r="U428" s="4"/>
      <c r="AC428">
        <f>SUMIF(L7:L411,AC412,G7:G411)</f>
        <v>0</v>
      </c>
      <c r="AD428">
        <f>SUMIF(L7:L411,AD412,G7:G411)</f>
        <v>0</v>
      </c>
      <c r="AE428" t="s">
        <v>533</v>
      </c>
    </row>
    <row r="429" spans="1:31" x14ac:dyDescent="0.25">
      <c r="A429" s="4"/>
      <c r="B429" s="5" t="s">
        <v>532</v>
      </c>
      <c r="C429" s="182" t="s">
        <v>532</v>
      </c>
      <c r="D429" s="4"/>
      <c r="E429" s="4"/>
      <c r="F429" s="4"/>
      <c r="G429" s="4"/>
      <c r="H429" s="4"/>
      <c r="I429" s="4"/>
      <c r="J429" s="4"/>
      <c r="K429" s="4"/>
      <c r="L429" s="4"/>
      <c r="M429" s="4"/>
      <c r="N429" s="4"/>
      <c r="O429" s="4"/>
      <c r="P429" s="4"/>
      <c r="Q429" s="4"/>
      <c r="R429" s="4"/>
      <c r="S429" s="4"/>
      <c r="T429" s="4"/>
      <c r="U429" s="4"/>
    </row>
    <row r="430" spans="1:31" x14ac:dyDescent="0.25">
      <c r="A430" s="4"/>
      <c r="B430" s="5" t="s">
        <v>532</v>
      </c>
      <c r="C430" s="182" t="s">
        <v>532</v>
      </c>
      <c r="D430" s="4"/>
      <c r="E430" s="4"/>
      <c r="F430" s="4"/>
      <c r="G430" s="4"/>
      <c r="H430" s="4"/>
      <c r="I430" s="4"/>
      <c r="J430" s="4"/>
      <c r="K430" s="4"/>
      <c r="L430" s="4"/>
      <c r="M430" s="4"/>
      <c r="N430" s="4"/>
      <c r="O430" s="4"/>
      <c r="P430" s="4"/>
      <c r="Q430" s="4"/>
      <c r="R430" s="4"/>
      <c r="S430" s="4"/>
      <c r="T430" s="4"/>
      <c r="U430" s="4"/>
    </row>
    <row r="431" spans="1:31" x14ac:dyDescent="0.25">
      <c r="A431" s="474" t="s">
        <v>534</v>
      </c>
      <c r="B431" s="474"/>
      <c r="C431" s="475"/>
      <c r="D431" s="4"/>
      <c r="E431" s="4"/>
      <c r="F431" s="4"/>
      <c r="G431" s="4"/>
      <c r="H431" s="4"/>
      <c r="I431" s="4"/>
      <c r="J431" s="4"/>
      <c r="K431" s="4"/>
      <c r="L431" s="4"/>
      <c r="M431" s="4"/>
      <c r="N431" s="4"/>
      <c r="O431" s="4"/>
      <c r="P431" s="4"/>
      <c r="Q431" s="4"/>
      <c r="R431" s="4"/>
      <c r="S431" s="4"/>
      <c r="T431" s="4"/>
      <c r="U431" s="4"/>
    </row>
    <row r="432" spans="1:31" x14ac:dyDescent="0.25">
      <c r="A432" s="453"/>
      <c r="B432" s="454"/>
      <c r="C432" s="455"/>
      <c r="D432" s="454"/>
      <c r="E432" s="454"/>
      <c r="F432" s="454"/>
      <c r="G432" s="456"/>
      <c r="H432" s="4"/>
      <c r="I432" s="4"/>
      <c r="J432" s="4"/>
      <c r="K432" s="4"/>
      <c r="L432" s="4"/>
      <c r="M432" s="4"/>
      <c r="N432" s="4"/>
      <c r="O432" s="4"/>
      <c r="P432" s="4"/>
      <c r="Q432" s="4"/>
      <c r="R432" s="4"/>
      <c r="S432" s="4"/>
      <c r="T432" s="4"/>
      <c r="U432" s="4"/>
      <c r="AE432" t="s">
        <v>535</v>
      </c>
    </row>
    <row r="433" spans="1:31" x14ac:dyDescent="0.25">
      <c r="A433" s="457"/>
      <c r="B433" s="458"/>
      <c r="C433" s="459"/>
      <c r="D433" s="458"/>
      <c r="E433" s="458"/>
      <c r="F433" s="458"/>
      <c r="G433" s="460"/>
      <c r="H433" s="4"/>
      <c r="I433" s="4"/>
      <c r="J433" s="4"/>
      <c r="K433" s="4"/>
      <c r="L433" s="4"/>
      <c r="M433" s="4"/>
      <c r="N433" s="4"/>
      <c r="O433" s="4"/>
      <c r="P433" s="4"/>
      <c r="Q433" s="4"/>
      <c r="R433" s="4"/>
      <c r="S433" s="4"/>
      <c r="T433" s="4"/>
      <c r="U433" s="4"/>
    </row>
    <row r="434" spans="1:31" x14ac:dyDescent="0.25">
      <c r="A434" s="457"/>
      <c r="B434" s="458"/>
      <c r="C434" s="459"/>
      <c r="D434" s="458"/>
      <c r="E434" s="458"/>
      <c r="F434" s="458"/>
      <c r="G434" s="460"/>
      <c r="H434" s="4"/>
      <c r="I434" s="4"/>
      <c r="J434" s="4"/>
      <c r="K434" s="4"/>
      <c r="L434" s="4"/>
      <c r="M434" s="4"/>
      <c r="N434" s="4"/>
      <c r="O434" s="4"/>
      <c r="P434" s="4"/>
      <c r="Q434" s="4"/>
      <c r="R434" s="4"/>
      <c r="S434" s="4"/>
      <c r="T434" s="4"/>
      <c r="U434" s="4"/>
    </row>
    <row r="435" spans="1:31" x14ac:dyDescent="0.25">
      <c r="A435" s="457"/>
      <c r="B435" s="458"/>
      <c r="C435" s="459"/>
      <c r="D435" s="458"/>
      <c r="E435" s="458"/>
      <c r="F435" s="458"/>
      <c r="G435" s="460"/>
      <c r="H435" s="4"/>
      <c r="I435" s="4"/>
      <c r="J435" s="4"/>
      <c r="K435" s="4"/>
      <c r="L435" s="4"/>
      <c r="M435" s="4"/>
      <c r="N435" s="4"/>
      <c r="O435" s="4"/>
      <c r="P435" s="4"/>
      <c r="Q435" s="4"/>
      <c r="R435" s="4"/>
      <c r="S435" s="4"/>
      <c r="T435" s="4"/>
      <c r="U435" s="4"/>
    </row>
    <row r="436" spans="1:31" x14ac:dyDescent="0.25">
      <c r="A436" s="461"/>
      <c r="B436" s="462"/>
      <c r="C436" s="463"/>
      <c r="D436" s="462"/>
      <c r="E436" s="462"/>
      <c r="F436" s="462"/>
      <c r="G436" s="464"/>
      <c r="H436" s="4"/>
      <c r="I436" s="4"/>
      <c r="J436" s="4"/>
      <c r="K436" s="4"/>
      <c r="L436" s="4"/>
      <c r="M436" s="4"/>
      <c r="N436" s="4"/>
      <c r="O436" s="4"/>
      <c r="P436" s="4"/>
      <c r="Q436" s="4"/>
      <c r="R436" s="4"/>
      <c r="S436" s="4"/>
      <c r="T436" s="4"/>
      <c r="U436" s="4"/>
    </row>
    <row r="437" spans="1:31" x14ac:dyDescent="0.25">
      <c r="A437" s="4"/>
      <c r="B437" s="5" t="s">
        <v>532</v>
      </c>
      <c r="C437" s="182" t="s">
        <v>532</v>
      </c>
      <c r="D437" s="4"/>
      <c r="E437" s="4"/>
      <c r="F437" s="4"/>
      <c r="G437" s="4"/>
      <c r="H437" s="4"/>
      <c r="I437" s="4"/>
      <c r="J437" s="4"/>
      <c r="K437" s="4"/>
      <c r="L437" s="4"/>
      <c r="M437" s="4"/>
      <c r="N437" s="4"/>
      <c r="O437" s="4"/>
      <c r="P437" s="4"/>
      <c r="Q437" s="4"/>
      <c r="R437" s="4"/>
      <c r="S437" s="4"/>
      <c r="T437" s="4"/>
      <c r="U437" s="4"/>
    </row>
    <row r="438" spans="1:31" x14ac:dyDescent="0.25">
      <c r="C438" s="184"/>
      <c r="AE438" t="s">
        <v>536</v>
      </c>
    </row>
  </sheetData>
  <sheetProtection algorithmName="SHA-512" hashValue="B21VvFpakuqaqP3rzzwGGe29Vm7pjR3JsUS3h6W1GOcrOZCaOh8y8x/8l0zNpRYdNxPAj9bYqyIHaAv8NLBHZA==" saltValue="p621JyRkg2/8oSbrSsFDEw==" spinCount="100000" sheet="1" objects="1" scenarios="1"/>
  <protectedRanges>
    <protectedRange sqref="F9 F11 F14 F16 F18 F21 F28 F30 F33 F36 F40 F42 F44 F46 F48 F50 F53 F60 F62 F64 F76 F78 F80 F83 F87 F90 F92 F95 F97 F99 F103 F106 F109 F111 F113 F115 F118 F122 F124 F126 F130" name="Oblast1"/>
  </protectedRanges>
  <mergeCells count="6">
    <mergeCell ref="A432:G436"/>
    <mergeCell ref="A1:G1"/>
    <mergeCell ref="C2:G2"/>
    <mergeCell ref="C3:G3"/>
    <mergeCell ref="C4:G4"/>
    <mergeCell ref="A431:C431"/>
  </mergeCells>
  <phoneticPr fontId="18" type="noConversion"/>
  <pageMargins left="0.39370078740157499" right="0.19685039370078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8A74-556A-4F1C-A767-1BD6A4AFAF17}">
  <sheetPr>
    <tabColor rgb="FF4BDC44"/>
    <pageSetUpPr fitToPage="1"/>
  </sheetPr>
  <dimension ref="A1:J29"/>
  <sheetViews>
    <sheetView workbookViewId="0">
      <selection activeCell="F15" sqref="F15"/>
    </sheetView>
  </sheetViews>
  <sheetFormatPr defaultColWidth="11.54296875" defaultRowHeight="12.5" x14ac:dyDescent="0.25"/>
  <cols>
    <col min="1" max="1" width="9.1796875" style="281" customWidth="1"/>
    <col min="2" max="2" width="12.81640625" style="281" customWidth="1"/>
    <col min="3" max="3" width="22.81640625" style="281" customWidth="1"/>
    <col min="4" max="4" width="10" style="281" customWidth="1"/>
    <col min="5" max="5" width="14" style="281" customWidth="1"/>
    <col min="6" max="6" width="22.81640625" style="281" customWidth="1"/>
    <col min="7" max="7" width="9.1796875" style="281" customWidth="1"/>
    <col min="8" max="8" width="12.81640625" style="281" customWidth="1"/>
    <col min="9" max="9" width="22.81640625" style="281" customWidth="1"/>
    <col min="10" max="256" width="11.54296875" style="281"/>
    <col min="257" max="257" width="9.1796875" style="281" customWidth="1"/>
    <col min="258" max="258" width="12.81640625" style="281" customWidth="1"/>
    <col min="259" max="259" width="22.81640625" style="281" customWidth="1"/>
    <col min="260" max="260" width="10" style="281" customWidth="1"/>
    <col min="261" max="261" width="14" style="281" customWidth="1"/>
    <col min="262" max="262" width="22.81640625" style="281" customWidth="1"/>
    <col min="263" max="263" width="9.1796875" style="281" customWidth="1"/>
    <col min="264" max="264" width="12.81640625" style="281" customWidth="1"/>
    <col min="265" max="265" width="22.81640625" style="281" customWidth="1"/>
    <col min="266" max="512" width="11.54296875" style="281"/>
    <col min="513" max="513" width="9.1796875" style="281" customWidth="1"/>
    <col min="514" max="514" width="12.81640625" style="281" customWidth="1"/>
    <col min="515" max="515" width="22.81640625" style="281" customWidth="1"/>
    <col min="516" max="516" width="10" style="281" customWidth="1"/>
    <col min="517" max="517" width="14" style="281" customWidth="1"/>
    <col min="518" max="518" width="22.81640625" style="281" customWidth="1"/>
    <col min="519" max="519" width="9.1796875" style="281" customWidth="1"/>
    <col min="520" max="520" width="12.81640625" style="281" customWidth="1"/>
    <col min="521" max="521" width="22.81640625" style="281" customWidth="1"/>
    <col min="522" max="768" width="11.54296875" style="281"/>
    <col min="769" max="769" width="9.1796875" style="281" customWidth="1"/>
    <col min="770" max="770" width="12.81640625" style="281" customWidth="1"/>
    <col min="771" max="771" width="22.81640625" style="281" customWidth="1"/>
    <col min="772" max="772" width="10" style="281" customWidth="1"/>
    <col min="773" max="773" width="14" style="281" customWidth="1"/>
    <col min="774" max="774" width="22.81640625" style="281" customWidth="1"/>
    <col min="775" max="775" width="9.1796875" style="281" customWidth="1"/>
    <col min="776" max="776" width="12.81640625" style="281" customWidth="1"/>
    <col min="777" max="777" width="22.81640625" style="281" customWidth="1"/>
    <col min="778" max="1024" width="11.54296875" style="281"/>
    <col min="1025" max="1025" width="9.1796875" style="281" customWidth="1"/>
    <col min="1026" max="1026" width="12.81640625" style="281" customWidth="1"/>
    <col min="1027" max="1027" width="22.81640625" style="281" customWidth="1"/>
    <col min="1028" max="1028" width="10" style="281" customWidth="1"/>
    <col min="1029" max="1029" width="14" style="281" customWidth="1"/>
    <col min="1030" max="1030" width="22.81640625" style="281" customWidth="1"/>
    <col min="1031" max="1031" width="9.1796875" style="281" customWidth="1"/>
    <col min="1032" max="1032" width="12.81640625" style="281" customWidth="1"/>
    <col min="1033" max="1033" width="22.81640625" style="281" customWidth="1"/>
    <col min="1034" max="1280" width="11.54296875" style="281"/>
    <col min="1281" max="1281" width="9.1796875" style="281" customWidth="1"/>
    <col min="1282" max="1282" width="12.81640625" style="281" customWidth="1"/>
    <col min="1283" max="1283" width="22.81640625" style="281" customWidth="1"/>
    <col min="1284" max="1284" width="10" style="281" customWidth="1"/>
    <col min="1285" max="1285" width="14" style="281" customWidth="1"/>
    <col min="1286" max="1286" width="22.81640625" style="281" customWidth="1"/>
    <col min="1287" max="1287" width="9.1796875" style="281" customWidth="1"/>
    <col min="1288" max="1288" width="12.81640625" style="281" customWidth="1"/>
    <col min="1289" max="1289" width="22.81640625" style="281" customWidth="1"/>
    <col min="1290" max="1536" width="11.54296875" style="281"/>
    <col min="1537" max="1537" width="9.1796875" style="281" customWidth="1"/>
    <col min="1538" max="1538" width="12.81640625" style="281" customWidth="1"/>
    <col min="1539" max="1539" width="22.81640625" style="281" customWidth="1"/>
    <col min="1540" max="1540" width="10" style="281" customWidth="1"/>
    <col min="1541" max="1541" width="14" style="281" customWidth="1"/>
    <col min="1542" max="1542" width="22.81640625" style="281" customWidth="1"/>
    <col min="1543" max="1543" width="9.1796875" style="281" customWidth="1"/>
    <col min="1544" max="1544" width="12.81640625" style="281" customWidth="1"/>
    <col min="1545" max="1545" width="22.81640625" style="281" customWidth="1"/>
    <col min="1546" max="1792" width="11.54296875" style="281"/>
    <col min="1793" max="1793" width="9.1796875" style="281" customWidth="1"/>
    <col min="1794" max="1794" width="12.81640625" style="281" customWidth="1"/>
    <col min="1795" max="1795" width="22.81640625" style="281" customWidth="1"/>
    <col min="1796" max="1796" width="10" style="281" customWidth="1"/>
    <col min="1797" max="1797" width="14" style="281" customWidth="1"/>
    <col min="1798" max="1798" width="22.81640625" style="281" customWidth="1"/>
    <col min="1799" max="1799" width="9.1796875" style="281" customWidth="1"/>
    <col min="1800" max="1800" width="12.81640625" style="281" customWidth="1"/>
    <col min="1801" max="1801" width="22.81640625" style="281" customWidth="1"/>
    <col min="1802" max="2048" width="11.54296875" style="281"/>
    <col min="2049" max="2049" width="9.1796875" style="281" customWidth="1"/>
    <col min="2050" max="2050" width="12.81640625" style="281" customWidth="1"/>
    <col min="2051" max="2051" width="22.81640625" style="281" customWidth="1"/>
    <col min="2052" max="2052" width="10" style="281" customWidth="1"/>
    <col min="2053" max="2053" width="14" style="281" customWidth="1"/>
    <col min="2054" max="2054" width="22.81640625" style="281" customWidth="1"/>
    <col min="2055" max="2055" width="9.1796875" style="281" customWidth="1"/>
    <col min="2056" max="2056" width="12.81640625" style="281" customWidth="1"/>
    <col min="2057" max="2057" width="22.81640625" style="281" customWidth="1"/>
    <col min="2058" max="2304" width="11.54296875" style="281"/>
    <col min="2305" max="2305" width="9.1796875" style="281" customWidth="1"/>
    <col min="2306" max="2306" width="12.81640625" style="281" customWidth="1"/>
    <col min="2307" max="2307" width="22.81640625" style="281" customWidth="1"/>
    <col min="2308" max="2308" width="10" style="281" customWidth="1"/>
    <col min="2309" max="2309" width="14" style="281" customWidth="1"/>
    <col min="2310" max="2310" width="22.81640625" style="281" customWidth="1"/>
    <col min="2311" max="2311" width="9.1796875" style="281" customWidth="1"/>
    <col min="2312" max="2312" width="12.81640625" style="281" customWidth="1"/>
    <col min="2313" max="2313" width="22.81640625" style="281" customWidth="1"/>
    <col min="2314" max="2560" width="11.54296875" style="281"/>
    <col min="2561" max="2561" width="9.1796875" style="281" customWidth="1"/>
    <col min="2562" max="2562" width="12.81640625" style="281" customWidth="1"/>
    <col min="2563" max="2563" width="22.81640625" style="281" customWidth="1"/>
    <col min="2564" max="2564" width="10" style="281" customWidth="1"/>
    <col min="2565" max="2565" width="14" style="281" customWidth="1"/>
    <col min="2566" max="2566" width="22.81640625" style="281" customWidth="1"/>
    <col min="2567" max="2567" width="9.1796875" style="281" customWidth="1"/>
    <col min="2568" max="2568" width="12.81640625" style="281" customWidth="1"/>
    <col min="2569" max="2569" width="22.81640625" style="281" customWidth="1"/>
    <col min="2570" max="2816" width="11.54296875" style="281"/>
    <col min="2817" max="2817" width="9.1796875" style="281" customWidth="1"/>
    <col min="2818" max="2818" width="12.81640625" style="281" customWidth="1"/>
    <col min="2819" max="2819" width="22.81640625" style="281" customWidth="1"/>
    <col min="2820" max="2820" width="10" style="281" customWidth="1"/>
    <col min="2821" max="2821" width="14" style="281" customWidth="1"/>
    <col min="2822" max="2822" width="22.81640625" style="281" customWidth="1"/>
    <col min="2823" max="2823" width="9.1796875" style="281" customWidth="1"/>
    <col min="2824" max="2824" width="12.81640625" style="281" customWidth="1"/>
    <col min="2825" max="2825" width="22.81640625" style="281" customWidth="1"/>
    <col min="2826" max="3072" width="11.54296875" style="281"/>
    <col min="3073" max="3073" width="9.1796875" style="281" customWidth="1"/>
    <col min="3074" max="3074" width="12.81640625" style="281" customWidth="1"/>
    <col min="3075" max="3075" width="22.81640625" style="281" customWidth="1"/>
    <col min="3076" max="3076" width="10" style="281" customWidth="1"/>
    <col min="3077" max="3077" width="14" style="281" customWidth="1"/>
    <col min="3078" max="3078" width="22.81640625" style="281" customWidth="1"/>
    <col min="3079" max="3079" width="9.1796875" style="281" customWidth="1"/>
    <col min="3080" max="3080" width="12.81640625" style="281" customWidth="1"/>
    <col min="3081" max="3081" width="22.81640625" style="281" customWidth="1"/>
    <col min="3082" max="3328" width="11.54296875" style="281"/>
    <col min="3329" max="3329" width="9.1796875" style="281" customWidth="1"/>
    <col min="3330" max="3330" width="12.81640625" style="281" customWidth="1"/>
    <col min="3331" max="3331" width="22.81640625" style="281" customWidth="1"/>
    <col min="3332" max="3332" width="10" style="281" customWidth="1"/>
    <col min="3333" max="3333" width="14" style="281" customWidth="1"/>
    <col min="3334" max="3334" width="22.81640625" style="281" customWidth="1"/>
    <col min="3335" max="3335" width="9.1796875" style="281" customWidth="1"/>
    <col min="3336" max="3336" width="12.81640625" style="281" customWidth="1"/>
    <col min="3337" max="3337" width="22.81640625" style="281" customWidth="1"/>
    <col min="3338" max="3584" width="11.54296875" style="281"/>
    <col min="3585" max="3585" width="9.1796875" style="281" customWidth="1"/>
    <col min="3586" max="3586" width="12.81640625" style="281" customWidth="1"/>
    <col min="3587" max="3587" width="22.81640625" style="281" customWidth="1"/>
    <col min="3588" max="3588" width="10" style="281" customWidth="1"/>
    <col min="3589" max="3589" width="14" style="281" customWidth="1"/>
    <col min="3590" max="3590" width="22.81640625" style="281" customWidth="1"/>
    <col min="3591" max="3591" width="9.1796875" style="281" customWidth="1"/>
    <col min="3592" max="3592" width="12.81640625" style="281" customWidth="1"/>
    <col min="3593" max="3593" width="22.81640625" style="281" customWidth="1"/>
    <col min="3594" max="3840" width="11.54296875" style="281"/>
    <col min="3841" max="3841" width="9.1796875" style="281" customWidth="1"/>
    <col min="3842" max="3842" width="12.81640625" style="281" customWidth="1"/>
    <col min="3843" max="3843" width="22.81640625" style="281" customWidth="1"/>
    <col min="3844" max="3844" width="10" style="281" customWidth="1"/>
    <col min="3845" max="3845" width="14" style="281" customWidth="1"/>
    <col min="3846" max="3846" width="22.81640625" style="281" customWidth="1"/>
    <col min="3847" max="3847" width="9.1796875" style="281" customWidth="1"/>
    <col min="3848" max="3848" width="12.81640625" style="281" customWidth="1"/>
    <col min="3849" max="3849" width="22.81640625" style="281" customWidth="1"/>
    <col min="3850" max="4096" width="11.54296875" style="281"/>
    <col min="4097" max="4097" width="9.1796875" style="281" customWidth="1"/>
    <col min="4098" max="4098" width="12.81640625" style="281" customWidth="1"/>
    <col min="4099" max="4099" width="22.81640625" style="281" customWidth="1"/>
    <col min="4100" max="4100" width="10" style="281" customWidth="1"/>
    <col min="4101" max="4101" width="14" style="281" customWidth="1"/>
    <col min="4102" max="4102" width="22.81640625" style="281" customWidth="1"/>
    <col min="4103" max="4103" width="9.1796875" style="281" customWidth="1"/>
    <col min="4104" max="4104" width="12.81640625" style="281" customWidth="1"/>
    <col min="4105" max="4105" width="22.81640625" style="281" customWidth="1"/>
    <col min="4106" max="4352" width="11.54296875" style="281"/>
    <col min="4353" max="4353" width="9.1796875" style="281" customWidth="1"/>
    <col min="4354" max="4354" width="12.81640625" style="281" customWidth="1"/>
    <col min="4355" max="4355" width="22.81640625" style="281" customWidth="1"/>
    <col min="4356" max="4356" width="10" style="281" customWidth="1"/>
    <col min="4357" max="4357" width="14" style="281" customWidth="1"/>
    <col min="4358" max="4358" width="22.81640625" style="281" customWidth="1"/>
    <col min="4359" max="4359" width="9.1796875" style="281" customWidth="1"/>
    <col min="4360" max="4360" width="12.81640625" style="281" customWidth="1"/>
    <col min="4361" max="4361" width="22.81640625" style="281" customWidth="1"/>
    <col min="4362" max="4608" width="11.54296875" style="281"/>
    <col min="4609" max="4609" width="9.1796875" style="281" customWidth="1"/>
    <col min="4610" max="4610" width="12.81640625" style="281" customWidth="1"/>
    <col min="4611" max="4611" width="22.81640625" style="281" customWidth="1"/>
    <col min="4612" max="4612" width="10" style="281" customWidth="1"/>
    <col min="4613" max="4613" width="14" style="281" customWidth="1"/>
    <col min="4614" max="4614" width="22.81640625" style="281" customWidth="1"/>
    <col min="4615" max="4615" width="9.1796875" style="281" customWidth="1"/>
    <col min="4616" max="4616" width="12.81640625" style="281" customWidth="1"/>
    <col min="4617" max="4617" width="22.81640625" style="281" customWidth="1"/>
    <col min="4618" max="4864" width="11.54296875" style="281"/>
    <col min="4865" max="4865" width="9.1796875" style="281" customWidth="1"/>
    <col min="4866" max="4866" width="12.81640625" style="281" customWidth="1"/>
    <col min="4867" max="4867" width="22.81640625" style="281" customWidth="1"/>
    <col min="4868" max="4868" width="10" style="281" customWidth="1"/>
    <col min="4869" max="4869" width="14" style="281" customWidth="1"/>
    <col min="4870" max="4870" width="22.81640625" style="281" customWidth="1"/>
    <col min="4871" max="4871" width="9.1796875" style="281" customWidth="1"/>
    <col min="4872" max="4872" width="12.81640625" style="281" customWidth="1"/>
    <col min="4873" max="4873" width="22.81640625" style="281" customWidth="1"/>
    <col min="4874" max="5120" width="11.54296875" style="281"/>
    <col min="5121" max="5121" width="9.1796875" style="281" customWidth="1"/>
    <col min="5122" max="5122" width="12.81640625" style="281" customWidth="1"/>
    <col min="5123" max="5123" width="22.81640625" style="281" customWidth="1"/>
    <col min="5124" max="5124" width="10" style="281" customWidth="1"/>
    <col min="5125" max="5125" width="14" style="281" customWidth="1"/>
    <col min="5126" max="5126" width="22.81640625" style="281" customWidth="1"/>
    <col min="5127" max="5127" width="9.1796875" style="281" customWidth="1"/>
    <col min="5128" max="5128" width="12.81640625" style="281" customWidth="1"/>
    <col min="5129" max="5129" width="22.81640625" style="281" customWidth="1"/>
    <col min="5130" max="5376" width="11.54296875" style="281"/>
    <col min="5377" max="5377" width="9.1796875" style="281" customWidth="1"/>
    <col min="5378" max="5378" width="12.81640625" style="281" customWidth="1"/>
    <col min="5379" max="5379" width="22.81640625" style="281" customWidth="1"/>
    <col min="5380" max="5380" width="10" style="281" customWidth="1"/>
    <col min="5381" max="5381" width="14" style="281" customWidth="1"/>
    <col min="5382" max="5382" width="22.81640625" style="281" customWidth="1"/>
    <col min="5383" max="5383" width="9.1796875" style="281" customWidth="1"/>
    <col min="5384" max="5384" width="12.81640625" style="281" customWidth="1"/>
    <col min="5385" max="5385" width="22.81640625" style="281" customWidth="1"/>
    <col min="5386" max="5632" width="11.54296875" style="281"/>
    <col min="5633" max="5633" width="9.1796875" style="281" customWidth="1"/>
    <col min="5634" max="5634" width="12.81640625" style="281" customWidth="1"/>
    <col min="5635" max="5635" width="22.81640625" style="281" customWidth="1"/>
    <col min="5636" max="5636" width="10" style="281" customWidth="1"/>
    <col min="5637" max="5637" width="14" style="281" customWidth="1"/>
    <col min="5638" max="5638" width="22.81640625" style="281" customWidth="1"/>
    <col min="5639" max="5639" width="9.1796875" style="281" customWidth="1"/>
    <col min="5640" max="5640" width="12.81640625" style="281" customWidth="1"/>
    <col min="5641" max="5641" width="22.81640625" style="281" customWidth="1"/>
    <col min="5642" max="5888" width="11.54296875" style="281"/>
    <col min="5889" max="5889" width="9.1796875" style="281" customWidth="1"/>
    <col min="5890" max="5890" width="12.81640625" style="281" customWidth="1"/>
    <col min="5891" max="5891" width="22.81640625" style="281" customWidth="1"/>
    <col min="5892" max="5892" width="10" style="281" customWidth="1"/>
    <col min="5893" max="5893" width="14" style="281" customWidth="1"/>
    <col min="5894" max="5894" width="22.81640625" style="281" customWidth="1"/>
    <col min="5895" max="5895" width="9.1796875" style="281" customWidth="1"/>
    <col min="5896" max="5896" width="12.81640625" style="281" customWidth="1"/>
    <col min="5897" max="5897" width="22.81640625" style="281" customWidth="1"/>
    <col min="5898" max="6144" width="11.54296875" style="281"/>
    <col min="6145" max="6145" width="9.1796875" style="281" customWidth="1"/>
    <col min="6146" max="6146" width="12.81640625" style="281" customWidth="1"/>
    <col min="6147" max="6147" width="22.81640625" style="281" customWidth="1"/>
    <col min="6148" max="6148" width="10" style="281" customWidth="1"/>
    <col min="6149" max="6149" width="14" style="281" customWidth="1"/>
    <col min="6150" max="6150" width="22.81640625" style="281" customWidth="1"/>
    <col min="6151" max="6151" width="9.1796875" style="281" customWidth="1"/>
    <col min="6152" max="6152" width="12.81640625" style="281" customWidth="1"/>
    <col min="6153" max="6153" width="22.81640625" style="281" customWidth="1"/>
    <col min="6154" max="6400" width="11.54296875" style="281"/>
    <col min="6401" max="6401" width="9.1796875" style="281" customWidth="1"/>
    <col min="6402" max="6402" width="12.81640625" style="281" customWidth="1"/>
    <col min="6403" max="6403" width="22.81640625" style="281" customWidth="1"/>
    <col min="6404" max="6404" width="10" style="281" customWidth="1"/>
    <col min="6405" max="6405" width="14" style="281" customWidth="1"/>
    <col min="6406" max="6406" width="22.81640625" style="281" customWidth="1"/>
    <col min="6407" max="6407" width="9.1796875" style="281" customWidth="1"/>
    <col min="6408" max="6408" width="12.81640625" style="281" customWidth="1"/>
    <col min="6409" max="6409" width="22.81640625" style="281" customWidth="1"/>
    <col min="6410" max="6656" width="11.54296875" style="281"/>
    <col min="6657" max="6657" width="9.1796875" style="281" customWidth="1"/>
    <col min="6658" max="6658" width="12.81640625" style="281" customWidth="1"/>
    <col min="6659" max="6659" width="22.81640625" style="281" customWidth="1"/>
    <col min="6660" max="6660" width="10" style="281" customWidth="1"/>
    <col min="6661" max="6661" width="14" style="281" customWidth="1"/>
    <col min="6662" max="6662" width="22.81640625" style="281" customWidth="1"/>
    <col min="6663" max="6663" width="9.1796875" style="281" customWidth="1"/>
    <col min="6664" max="6664" width="12.81640625" style="281" customWidth="1"/>
    <col min="6665" max="6665" width="22.81640625" style="281" customWidth="1"/>
    <col min="6666" max="6912" width="11.54296875" style="281"/>
    <col min="6913" max="6913" width="9.1796875" style="281" customWidth="1"/>
    <col min="6914" max="6914" width="12.81640625" style="281" customWidth="1"/>
    <col min="6915" max="6915" width="22.81640625" style="281" customWidth="1"/>
    <col min="6916" max="6916" width="10" style="281" customWidth="1"/>
    <col min="6917" max="6917" width="14" style="281" customWidth="1"/>
    <col min="6918" max="6918" width="22.81640625" style="281" customWidth="1"/>
    <col min="6919" max="6919" width="9.1796875" style="281" customWidth="1"/>
    <col min="6920" max="6920" width="12.81640625" style="281" customWidth="1"/>
    <col min="6921" max="6921" width="22.81640625" style="281" customWidth="1"/>
    <col min="6922" max="7168" width="11.54296875" style="281"/>
    <col min="7169" max="7169" width="9.1796875" style="281" customWidth="1"/>
    <col min="7170" max="7170" width="12.81640625" style="281" customWidth="1"/>
    <col min="7171" max="7171" width="22.81640625" style="281" customWidth="1"/>
    <col min="7172" max="7172" width="10" style="281" customWidth="1"/>
    <col min="7173" max="7173" width="14" style="281" customWidth="1"/>
    <col min="7174" max="7174" width="22.81640625" style="281" customWidth="1"/>
    <col min="7175" max="7175" width="9.1796875" style="281" customWidth="1"/>
    <col min="7176" max="7176" width="12.81640625" style="281" customWidth="1"/>
    <col min="7177" max="7177" width="22.81640625" style="281" customWidth="1"/>
    <col min="7178" max="7424" width="11.54296875" style="281"/>
    <col min="7425" max="7425" width="9.1796875" style="281" customWidth="1"/>
    <col min="7426" max="7426" width="12.81640625" style="281" customWidth="1"/>
    <col min="7427" max="7427" width="22.81640625" style="281" customWidth="1"/>
    <col min="7428" max="7428" width="10" style="281" customWidth="1"/>
    <col min="7429" max="7429" width="14" style="281" customWidth="1"/>
    <col min="7430" max="7430" width="22.81640625" style="281" customWidth="1"/>
    <col min="7431" max="7431" width="9.1796875" style="281" customWidth="1"/>
    <col min="7432" max="7432" width="12.81640625" style="281" customWidth="1"/>
    <col min="7433" max="7433" width="22.81640625" style="281" customWidth="1"/>
    <col min="7434" max="7680" width="11.54296875" style="281"/>
    <col min="7681" max="7681" width="9.1796875" style="281" customWidth="1"/>
    <col min="7682" max="7682" width="12.81640625" style="281" customWidth="1"/>
    <col min="7683" max="7683" width="22.81640625" style="281" customWidth="1"/>
    <col min="7684" max="7684" width="10" style="281" customWidth="1"/>
    <col min="7685" max="7685" width="14" style="281" customWidth="1"/>
    <col min="7686" max="7686" width="22.81640625" style="281" customWidth="1"/>
    <col min="7687" max="7687" width="9.1796875" style="281" customWidth="1"/>
    <col min="7688" max="7688" width="12.81640625" style="281" customWidth="1"/>
    <col min="7689" max="7689" width="22.81640625" style="281" customWidth="1"/>
    <col min="7690" max="7936" width="11.54296875" style="281"/>
    <col min="7937" max="7937" width="9.1796875" style="281" customWidth="1"/>
    <col min="7938" max="7938" width="12.81640625" style="281" customWidth="1"/>
    <col min="7939" max="7939" width="22.81640625" style="281" customWidth="1"/>
    <col min="7940" max="7940" width="10" style="281" customWidth="1"/>
    <col min="7941" max="7941" width="14" style="281" customWidth="1"/>
    <col min="7942" max="7942" width="22.81640625" style="281" customWidth="1"/>
    <col min="7943" max="7943" width="9.1796875" style="281" customWidth="1"/>
    <col min="7944" max="7944" width="12.81640625" style="281" customWidth="1"/>
    <col min="7945" max="7945" width="22.81640625" style="281" customWidth="1"/>
    <col min="7946" max="8192" width="11.54296875" style="281"/>
    <col min="8193" max="8193" width="9.1796875" style="281" customWidth="1"/>
    <col min="8194" max="8194" width="12.81640625" style="281" customWidth="1"/>
    <col min="8195" max="8195" width="22.81640625" style="281" customWidth="1"/>
    <col min="8196" max="8196" width="10" style="281" customWidth="1"/>
    <col min="8197" max="8197" width="14" style="281" customWidth="1"/>
    <col min="8198" max="8198" width="22.81640625" style="281" customWidth="1"/>
    <col min="8199" max="8199" width="9.1796875" style="281" customWidth="1"/>
    <col min="8200" max="8200" width="12.81640625" style="281" customWidth="1"/>
    <col min="8201" max="8201" width="22.81640625" style="281" customWidth="1"/>
    <col min="8202" max="8448" width="11.54296875" style="281"/>
    <col min="8449" max="8449" width="9.1796875" style="281" customWidth="1"/>
    <col min="8450" max="8450" width="12.81640625" style="281" customWidth="1"/>
    <col min="8451" max="8451" width="22.81640625" style="281" customWidth="1"/>
    <col min="8452" max="8452" width="10" style="281" customWidth="1"/>
    <col min="8453" max="8453" width="14" style="281" customWidth="1"/>
    <col min="8454" max="8454" width="22.81640625" style="281" customWidth="1"/>
    <col min="8455" max="8455" width="9.1796875" style="281" customWidth="1"/>
    <col min="8456" max="8456" width="12.81640625" style="281" customWidth="1"/>
    <col min="8457" max="8457" width="22.81640625" style="281" customWidth="1"/>
    <col min="8458" max="8704" width="11.54296875" style="281"/>
    <col min="8705" max="8705" width="9.1796875" style="281" customWidth="1"/>
    <col min="8706" max="8706" width="12.81640625" style="281" customWidth="1"/>
    <col min="8707" max="8707" width="22.81640625" style="281" customWidth="1"/>
    <col min="8708" max="8708" width="10" style="281" customWidth="1"/>
    <col min="8709" max="8709" width="14" style="281" customWidth="1"/>
    <col min="8710" max="8710" width="22.81640625" style="281" customWidth="1"/>
    <col min="8711" max="8711" width="9.1796875" style="281" customWidth="1"/>
    <col min="8712" max="8712" width="12.81640625" style="281" customWidth="1"/>
    <col min="8713" max="8713" width="22.81640625" style="281" customWidth="1"/>
    <col min="8714" max="8960" width="11.54296875" style="281"/>
    <col min="8961" max="8961" width="9.1796875" style="281" customWidth="1"/>
    <col min="8962" max="8962" width="12.81640625" style="281" customWidth="1"/>
    <col min="8963" max="8963" width="22.81640625" style="281" customWidth="1"/>
    <col min="8964" max="8964" width="10" style="281" customWidth="1"/>
    <col min="8965" max="8965" width="14" style="281" customWidth="1"/>
    <col min="8966" max="8966" width="22.81640625" style="281" customWidth="1"/>
    <col min="8967" max="8967" width="9.1796875" style="281" customWidth="1"/>
    <col min="8968" max="8968" width="12.81640625" style="281" customWidth="1"/>
    <col min="8969" max="8969" width="22.81640625" style="281" customWidth="1"/>
    <col min="8970" max="9216" width="11.54296875" style="281"/>
    <col min="9217" max="9217" width="9.1796875" style="281" customWidth="1"/>
    <col min="9218" max="9218" width="12.81640625" style="281" customWidth="1"/>
    <col min="9219" max="9219" width="22.81640625" style="281" customWidth="1"/>
    <col min="9220" max="9220" width="10" style="281" customWidth="1"/>
    <col min="9221" max="9221" width="14" style="281" customWidth="1"/>
    <col min="9222" max="9222" width="22.81640625" style="281" customWidth="1"/>
    <col min="9223" max="9223" width="9.1796875" style="281" customWidth="1"/>
    <col min="9224" max="9224" width="12.81640625" style="281" customWidth="1"/>
    <col min="9225" max="9225" width="22.81640625" style="281" customWidth="1"/>
    <col min="9226" max="9472" width="11.54296875" style="281"/>
    <col min="9473" max="9473" width="9.1796875" style="281" customWidth="1"/>
    <col min="9474" max="9474" width="12.81640625" style="281" customWidth="1"/>
    <col min="9475" max="9475" width="22.81640625" style="281" customWidth="1"/>
    <col min="9476" max="9476" width="10" style="281" customWidth="1"/>
    <col min="9477" max="9477" width="14" style="281" customWidth="1"/>
    <col min="9478" max="9478" width="22.81640625" style="281" customWidth="1"/>
    <col min="9479" max="9479" width="9.1796875" style="281" customWidth="1"/>
    <col min="9480" max="9480" width="12.81640625" style="281" customWidth="1"/>
    <col min="9481" max="9481" width="22.81640625" style="281" customWidth="1"/>
    <col min="9482" max="9728" width="11.54296875" style="281"/>
    <col min="9729" max="9729" width="9.1796875" style="281" customWidth="1"/>
    <col min="9730" max="9730" width="12.81640625" style="281" customWidth="1"/>
    <col min="9731" max="9731" width="22.81640625" style="281" customWidth="1"/>
    <col min="9732" max="9732" width="10" style="281" customWidth="1"/>
    <col min="9733" max="9733" width="14" style="281" customWidth="1"/>
    <col min="9734" max="9734" width="22.81640625" style="281" customWidth="1"/>
    <col min="9735" max="9735" width="9.1796875" style="281" customWidth="1"/>
    <col min="9736" max="9736" width="12.81640625" style="281" customWidth="1"/>
    <col min="9737" max="9737" width="22.81640625" style="281" customWidth="1"/>
    <col min="9738" max="9984" width="11.54296875" style="281"/>
    <col min="9985" max="9985" width="9.1796875" style="281" customWidth="1"/>
    <col min="9986" max="9986" width="12.81640625" style="281" customWidth="1"/>
    <col min="9987" max="9987" width="22.81640625" style="281" customWidth="1"/>
    <col min="9988" max="9988" width="10" style="281" customWidth="1"/>
    <col min="9989" max="9989" width="14" style="281" customWidth="1"/>
    <col min="9990" max="9990" width="22.81640625" style="281" customWidth="1"/>
    <col min="9991" max="9991" width="9.1796875" style="281" customWidth="1"/>
    <col min="9992" max="9992" width="12.81640625" style="281" customWidth="1"/>
    <col min="9993" max="9993" width="22.81640625" style="281" customWidth="1"/>
    <col min="9994" max="10240" width="11.54296875" style="281"/>
    <col min="10241" max="10241" width="9.1796875" style="281" customWidth="1"/>
    <col min="10242" max="10242" width="12.81640625" style="281" customWidth="1"/>
    <col min="10243" max="10243" width="22.81640625" style="281" customWidth="1"/>
    <col min="10244" max="10244" width="10" style="281" customWidth="1"/>
    <col min="10245" max="10245" width="14" style="281" customWidth="1"/>
    <col min="10246" max="10246" width="22.81640625" style="281" customWidth="1"/>
    <col min="10247" max="10247" width="9.1796875" style="281" customWidth="1"/>
    <col min="10248" max="10248" width="12.81640625" style="281" customWidth="1"/>
    <col min="10249" max="10249" width="22.81640625" style="281" customWidth="1"/>
    <col min="10250" max="10496" width="11.54296875" style="281"/>
    <col min="10497" max="10497" width="9.1796875" style="281" customWidth="1"/>
    <col min="10498" max="10498" width="12.81640625" style="281" customWidth="1"/>
    <col min="10499" max="10499" width="22.81640625" style="281" customWidth="1"/>
    <col min="10500" max="10500" width="10" style="281" customWidth="1"/>
    <col min="10501" max="10501" width="14" style="281" customWidth="1"/>
    <col min="10502" max="10502" width="22.81640625" style="281" customWidth="1"/>
    <col min="10503" max="10503" width="9.1796875" style="281" customWidth="1"/>
    <col min="10504" max="10504" width="12.81640625" style="281" customWidth="1"/>
    <col min="10505" max="10505" width="22.81640625" style="281" customWidth="1"/>
    <col min="10506" max="10752" width="11.54296875" style="281"/>
    <col min="10753" max="10753" width="9.1796875" style="281" customWidth="1"/>
    <col min="10754" max="10754" width="12.81640625" style="281" customWidth="1"/>
    <col min="10755" max="10755" width="22.81640625" style="281" customWidth="1"/>
    <col min="10756" max="10756" width="10" style="281" customWidth="1"/>
    <col min="10757" max="10757" width="14" style="281" customWidth="1"/>
    <col min="10758" max="10758" width="22.81640625" style="281" customWidth="1"/>
    <col min="10759" max="10759" width="9.1796875" style="281" customWidth="1"/>
    <col min="10760" max="10760" width="12.81640625" style="281" customWidth="1"/>
    <col min="10761" max="10761" width="22.81640625" style="281" customWidth="1"/>
    <col min="10762" max="11008" width="11.54296875" style="281"/>
    <col min="11009" max="11009" width="9.1796875" style="281" customWidth="1"/>
    <col min="11010" max="11010" width="12.81640625" style="281" customWidth="1"/>
    <col min="11011" max="11011" width="22.81640625" style="281" customWidth="1"/>
    <col min="11012" max="11012" width="10" style="281" customWidth="1"/>
    <col min="11013" max="11013" width="14" style="281" customWidth="1"/>
    <col min="11014" max="11014" width="22.81640625" style="281" customWidth="1"/>
    <col min="11015" max="11015" width="9.1796875" style="281" customWidth="1"/>
    <col min="11016" max="11016" width="12.81640625" style="281" customWidth="1"/>
    <col min="11017" max="11017" width="22.81640625" style="281" customWidth="1"/>
    <col min="11018" max="11264" width="11.54296875" style="281"/>
    <col min="11265" max="11265" width="9.1796875" style="281" customWidth="1"/>
    <col min="11266" max="11266" width="12.81640625" style="281" customWidth="1"/>
    <col min="11267" max="11267" width="22.81640625" style="281" customWidth="1"/>
    <col min="11268" max="11268" width="10" style="281" customWidth="1"/>
    <col min="11269" max="11269" width="14" style="281" customWidth="1"/>
    <col min="11270" max="11270" width="22.81640625" style="281" customWidth="1"/>
    <col min="11271" max="11271" width="9.1796875" style="281" customWidth="1"/>
    <col min="11272" max="11272" width="12.81640625" style="281" customWidth="1"/>
    <col min="11273" max="11273" width="22.81640625" style="281" customWidth="1"/>
    <col min="11274" max="11520" width="11.54296875" style="281"/>
    <col min="11521" max="11521" width="9.1796875" style="281" customWidth="1"/>
    <col min="11522" max="11522" width="12.81640625" style="281" customWidth="1"/>
    <col min="11523" max="11523" width="22.81640625" style="281" customWidth="1"/>
    <col min="11524" max="11524" width="10" style="281" customWidth="1"/>
    <col min="11525" max="11525" width="14" style="281" customWidth="1"/>
    <col min="11526" max="11526" width="22.81640625" style="281" customWidth="1"/>
    <col min="11527" max="11527" width="9.1796875" style="281" customWidth="1"/>
    <col min="11528" max="11528" width="12.81640625" style="281" customWidth="1"/>
    <col min="11529" max="11529" width="22.81640625" style="281" customWidth="1"/>
    <col min="11530" max="11776" width="11.54296875" style="281"/>
    <col min="11777" max="11777" width="9.1796875" style="281" customWidth="1"/>
    <col min="11778" max="11778" width="12.81640625" style="281" customWidth="1"/>
    <col min="11779" max="11779" width="22.81640625" style="281" customWidth="1"/>
    <col min="11780" max="11780" width="10" style="281" customWidth="1"/>
    <col min="11781" max="11781" width="14" style="281" customWidth="1"/>
    <col min="11782" max="11782" width="22.81640625" style="281" customWidth="1"/>
    <col min="11783" max="11783" width="9.1796875" style="281" customWidth="1"/>
    <col min="11784" max="11784" width="12.81640625" style="281" customWidth="1"/>
    <col min="11785" max="11785" width="22.81640625" style="281" customWidth="1"/>
    <col min="11786" max="12032" width="11.54296875" style="281"/>
    <col min="12033" max="12033" width="9.1796875" style="281" customWidth="1"/>
    <col min="12034" max="12034" width="12.81640625" style="281" customWidth="1"/>
    <col min="12035" max="12035" width="22.81640625" style="281" customWidth="1"/>
    <col min="12036" max="12036" width="10" style="281" customWidth="1"/>
    <col min="12037" max="12037" width="14" style="281" customWidth="1"/>
    <col min="12038" max="12038" width="22.81640625" style="281" customWidth="1"/>
    <col min="12039" max="12039" width="9.1796875" style="281" customWidth="1"/>
    <col min="12040" max="12040" width="12.81640625" style="281" customWidth="1"/>
    <col min="12041" max="12041" width="22.81640625" style="281" customWidth="1"/>
    <col min="12042" max="12288" width="11.54296875" style="281"/>
    <col min="12289" max="12289" width="9.1796875" style="281" customWidth="1"/>
    <col min="12290" max="12290" width="12.81640625" style="281" customWidth="1"/>
    <col min="12291" max="12291" width="22.81640625" style="281" customWidth="1"/>
    <col min="12292" max="12292" width="10" style="281" customWidth="1"/>
    <col min="12293" max="12293" width="14" style="281" customWidth="1"/>
    <col min="12294" max="12294" width="22.81640625" style="281" customWidth="1"/>
    <col min="12295" max="12295" width="9.1796875" style="281" customWidth="1"/>
    <col min="12296" max="12296" width="12.81640625" style="281" customWidth="1"/>
    <col min="12297" max="12297" width="22.81640625" style="281" customWidth="1"/>
    <col min="12298" max="12544" width="11.54296875" style="281"/>
    <col min="12545" max="12545" width="9.1796875" style="281" customWidth="1"/>
    <col min="12546" max="12546" width="12.81640625" style="281" customWidth="1"/>
    <col min="12547" max="12547" width="22.81640625" style="281" customWidth="1"/>
    <col min="12548" max="12548" width="10" style="281" customWidth="1"/>
    <col min="12549" max="12549" width="14" style="281" customWidth="1"/>
    <col min="12550" max="12550" width="22.81640625" style="281" customWidth="1"/>
    <col min="12551" max="12551" width="9.1796875" style="281" customWidth="1"/>
    <col min="12552" max="12552" width="12.81640625" style="281" customWidth="1"/>
    <col min="12553" max="12553" width="22.81640625" style="281" customWidth="1"/>
    <col min="12554" max="12800" width="11.54296875" style="281"/>
    <col min="12801" max="12801" width="9.1796875" style="281" customWidth="1"/>
    <col min="12802" max="12802" width="12.81640625" style="281" customWidth="1"/>
    <col min="12803" max="12803" width="22.81640625" style="281" customWidth="1"/>
    <col min="12804" max="12804" width="10" style="281" customWidth="1"/>
    <col min="12805" max="12805" width="14" style="281" customWidth="1"/>
    <col min="12806" max="12806" width="22.81640625" style="281" customWidth="1"/>
    <col min="12807" max="12807" width="9.1796875" style="281" customWidth="1"/>
    <col min="12808" max="12808" width="12.81640625" style="281" customWidth="1"/>
    <col min="12809" max="12809" width="22.81640625" style="281" customWidth="1"/>
    <col min="12810" max="13056" width="11.54296875" style="281"/>
    <col min="13057" max="13057" width="9.1796875" style="281" customWidth="1"/>
    <col min="13058" max="13058" width="12.81640625" style="281" customWidth="1"/>
    <col min="13059" max="13059" width="22.81640625" style="281" customWidth="1"/>
    <col min="13060" max="13060" width="10" style="281" customWidth="1"/>
    <col min="13061" max="13061" width="14" style="281" customWidth="1"/>
    <col min="13062" max="13062" width="22.81640625" style="281" customWidth="1"/>
    <col min="13063" max="13063" width="9.1796875" style="281" customWidth="1"/>
    <col min="13064" max="13064" width="12.81640625" style="281" customWidth="1"/>
    <col min="13065" max="13065" width="22.81640625" style="281" customWidth="1"/>
    <col min="13066" max="13312" width="11.54296875" style="281"/>
    <col min="13313" max="13313" width="9.1796875" style="281" customWidth="1"/>
    <col min="13314" max="13314" width="12.81640625" style="281" customWidth="1"/>
    <col min="13315" max="13315" width="22.81640625" style="281" customWidth="1"/>
    <col min="13316" max="13316" width="10" style="281" customWidth="1"/>
    <col min="13317" max="13317" width="14" style="281" customWidth="1"/>
    <col min="13318" max="13318" width="22.81640625" style="281" customWidth="1"/>
    <col min="13319" max="13319" width="9.1796875" style="281" customWidth="1"/>
    <col min="13320" max="13320" width="12.81640625" style="281" customWidth="1"/>
    <col min="13321" max="13321" width="22.81640625" style="281" customWidth="1"/>
    <col min="13322" max="13568" width="11.54296875" style="281"/>
    <col min="13569" max="13569" width="9.1796875" style="281" customWidth="1"/>
    <col min="13570" max="13570" width="12.81640625" style="281" customWidth="1"/>
    <col min="13571" max="13571" width="22.81640625" style="281" customWidth="1"/>
    <col min="13572" max="13572" width="10" style="281" customWidth="1"/>
    <col min="13573" max="13573" width="14" style="281" customWidth="1"/>
    <col min="13574" max="13574" width="22.81640625" style="281" customWidth="1"/>
    <col min="13575" max="13575" width="9.1796875" style="281" customWidth="1"/>
    <col min="13576" max="13576" width="12.81640625" style="281" customWidth="1"/>
    <col min="13577" max="13577" width="22.81640625" style="281" customWidth="1"/>
    <col min="13578" max="13824" width="11.54296875" style="281"/>
    <col min="13825" max="13825" width="9.1796875" style="281" customWidth="1"/>
    <col min="13826" max="13826" width="12.81640625" style="281" customWidth="1"/>
    <col min="13827" max="13827" width="22.81640625" style="281" customWidth="1"/>
    <col min="13828" max="13828" width="10" style="281" customWidth="1"/>
    <col min="13829" max="13829" width="14" style="281" customWidth="1"/>
    <col min="13830" max="13830" width="22.81640625" style="281" customWidth="1"/>
    <col min="13831" max="13831" width="9.1796875" style="281" customWidth="1"/>
    <col min="13832" max="13832" width="12.81640625" style="281" customWidth="1"/>
    <col min="13833" max="13833" width="22.81640625" style="281" customWidth="1"/>
    <col min="13834" max="14080" width="11.54296875" style="281"/>
    <col min="14081" max="14081" width="9.1796875" style="281" customWidth="1"/>
    <col min="14082" max="14082" width="12.81640625" style="281" customWidth="1"/>
    <col min="14083" max="14083" width="22.81640625" style="281" customWidth="1"/>
    <col min="14084" max="14084" width="10" style="281" customWidth="1"/>
    <col min="14085" max="14085" width="14" style="281" customWidth="1"/>
    <col min="14086" max="14086" width="22.81640625" style="281" customWidth="1"/>
    <col min="14087" max="14087" width="9.1796875" style="281" customWidth="1"/>
    <col min="14088" max="14088" width="12.81640625" style="281" customWidth="1"/>
    <col min="14089" max="14089" width="22.81640625" style="281" customWidth="1"/>
    <col min="14090" max="14336" width="11.54296875" style="281"/>
    <col min="14337" max="14337" width="9.1796875" style="281" customWidth="1"/>
    <col min="14338" max="14338" width="12.81640625" style="281" customWidth="1"/>
    <col min="14339" max="14339" width="22.81640625" style="281" customWidth="1"/>
    <col min="14340" max="14340" width="10" style="281" customWidth="1"/>
    <col min="14341" max="14341" width="14" style="281" customWidth="1"/>
    <col min="14342" max="14342" width="22.81640625" style="281" customWidth="1"/>
    <col min="14343" max="14343" width="9.1796875" style="281" customWidth="1"/>
    <col min="14344" max="14344" width="12.81640625" style="281" customWidth="1"/>
    <col min="14345" max="14345" width="22.81640625" style="281" customWidth="1"/>
    <col min="14346" max="14592" width="11.54296875" style="281"/>
    <col min="14593" max="14593" width="9.1796875" style="281" customWidth="1"/>
    <col min="14594" max="14594" width="12.81640625" style="281" customWidth="1"/>
    <col min="14595" max="14595" width="22.81640625" style="281" customWidth="1"/>
    <col min="14596" max="14596" width="10" style="281" customWidth="1"/>
    <col min="14597" max="14597" width="14" style="281" customWidth="1"/>
    <col min="14598" max="14598" width="22.81640625" style="281" customWidth="1"/>
    <col min="14599" max="14599" width="9.1796875" style="281" customWidth="1"/>
    <col min="14600" max="14600" width="12.81640625" style="281" customWidth="1"/>
    <col min="14601" max="14601" width="22.81640625" style="281" customWidth="1"/>
    <col min="14602" max="14848" width="11.54296875" style="281"/>
    <col min="14849" max="14849" width="9.1796875" style="281" customWidth="1"/>
    <col min="14850" max="14850" width="12.81640625" style="281" customWidth="1"/>
    <col min="14851" max="14851" width="22.81640625" style="281" customWidth="1"/>
    <col min="14852" max="14852" width="10" style="281" customWidth="1"/>
    <col min="14853" max="14853" width="14" style="281" customWidth="1"/>
    <col min="14854" max="14854" width="22.81640625" style="281" customWidth="1"/>
    <col min="14855" max="14855" width="9.1796875" style="281" customWidth="1"/>
    <col min="14856" max="14856" width="12.81640625" style="281" customWidth="1"/>
    <col min="14857" max="14857" width="22.81640625" style="281" customWidth="1"/>
    <col min="14858" max="15104" width="11.54296875" style="281"/>
    <col min="15105" max="15105" width="9.1796875" style="281" customWidth="1"/>
    <col min="15106" max="15106" width="12.81640625" style="281" customWidth="1"/>
    <col min="15107" max="15107" width="22.81640625" style="281" customWidth="1"/>
    <col min="15108" max="15108" width="10" style="281" customWidth="1"/>
    <col min="15109" max="15109" width="14" style="281" customWidth="1"/>
    <col min="15110" max="15110" width="22.81640625" style="281" customWidth="1"/>
    <col min="15111" max="15111" width="9.1796875" style="281" customWidth="1"/>
    <col min="15112" max="15112" width="12.81640625" style="281" customWidth="1"/>
    <col min="15113" max="15113" width="22.81640625" style="281" customWidth="1"/>
    <col min="15114" max="15360" width="11.54296875" style="281"/>
    <col min="15361" max="15361" width="9.1796875" style="281" customWidth="1"/>
    <col min="15362" max="15362" width="12.81640625" style="281" customWidth="1"/>
    <col min="15363" max="15363" width="22.81640625" style="281" customWidth="1"/>
    <col min="15364" max="15364" width="10" style="281" customWidth="1"/>
    <col min="15365" max="15365" width="14" style="281" customWidth="1"/>
    <col min="15366" max="15366" width="22.81640625" style="281" customWidth="1"/>
    <col min="15367" max="15367" width="9.1796875" style="281" customWidth="1"/>
    <col min="15368" max="15368" width="12.81640625" style="281" customWidth="1"/>
    <col min="15369" max="15369" width="22.81640625" style="281" customWidth="1"/>
    <col min="15370" max="15616" width="11.54296875" style="281"/>
    <col min="15617" max="15617" width="9.1796875" style="281" customWidth="1"/>
    <col min="15618" max="15618" width="12.81640625" style="281" customWidth="1"/>
    <col min="15619" max="15619" width="22.81640625" style="281" customWidth="1"/>
    <col min="15620" max="15620" width="10" style="281" customWidth="1"/>
    <col min="15621" max="15621" width="14" style="281" customWidth="1"/>
    <col min="15622" max="15622" width="22.81640625" style="281" customWidth="1"/>
    <col min="15623" max="15623" width="9.1796875" style="281" customWidth="1"/>
    <col min="15624" max="15624" width="12.81640625" style="281" customWidth="1"/>
    <col min="15625" max="15625" width="22.81640625" style="281" customWidth="1"/>
    <col min="15626" max="15872" width="11.54296875" style="281"/>
    <col min="15873" max="15873" width="9.1796875" style="281" customWidth="1"/>
    <col min="15874" max="15874" width="12.81640625" style="281" customWidth="1"/>
    <col min="15875" max="15875" width="22.81640625" style="281" customWidth="1"/>
    <col min="15876" max="15876" width="10" style="281" customWidth="1"/>
    <col min="15877" max="15877" width="14" style="281" customWidth="1"/>
    <col min="15878" max="15878" width="22.81640625" style="281" customWidth="1"/>
    <col min="15879" max="15879" width="9.1796875" style="281" customWidth="1"/>
    <col min="15880" max="15880" width="12.81640625" style="281" customWidth="1"/>
    <col min="15881" max="15881" width="22.81640625" style="281" customWidth="1"/>
    <col min="15882" max="16128" width="11.54296875" style="281"/>
    <col min="16129" max="16129" width="9.1796875" style="281" customWidth="1"/>
    <col min="16130" max="16130" width="12.81640625" style="281" customWidth="1"/>
    <col min="16131" max="16131" width="22.81640625" style="281" customWidth="1"/>
    <col min="16132" max="16132" width="10" style="281" customWidth="1"/>
    <col min="16133" max="16133" width="14" style="281" customWidth="1"/>
    <col min="16134" max="16134" width="22.81640625" style="281" customWidth="1"/>
    <col min="16135" max="16135" width="9.1796875" style="281" customWidth="1"/>
    <col min="16136" max="16136" width="12.81640625" style="281" customWidth="1"/>
    <col min="16137" max="16137" width="22.81640625" style="281" customWidth="1"/>
    <col min="16138" max="16384" width="11.54296875" style="281"/>
  </cols>
  <sheetData>
    <row r="1" spans="1:10" ht="35.5" customHeight="1" x14ac:dyDescent="0.25">
      <c r="A1" s="351" t="s">
        <v>1214</v>
      </c>
      <c r="B1" s="352"/>
      <c r="C1" s="352"/>
      <c r="D1" s="352"/>
      <c r="E1" s="352"/>
      <c r="F1" s="352"/>
      <c r="G1" s="352"/>
      <c r="H1" s="352"/>
      <c r="I1" s="353"/>
    </row>
    <row r="2" spans="1:10" x14ac:dyDescent="0.25">
      <c r="A2" s="478" t="s">
        <v>965</v>
      </c>
      <c r="B2" s="479"/>
      <c r="C2" s="482" t="s">
        <v>1222</v>
      </c>
      <c r="D2" s="483"/>
      <c r="E2" s="485" t="s">
        <v>21</v>
      </c>
      <c r="F2" s="485" t="s">
        <v>1223</v>
      </c>
      <c r="G2" s="479"/>
      <c r="H2" s="485" t="s">
        <v>966</v>
      </c>
      <c r="I2" s="476"/>
      <c r="J2" s="282"/>
    </row>
    <row r="3" spans="1:10" x14ac:dyDescent="0.25">
      <c r="A3" s="480"/>
      <c r="B3" s="481"/>
      <c r="C3" s="484"/>
      <c r="D3" s="484"/>
      <c r="E3" s="481"/>
      <c r="F3" s="481"/>
      <c r="G3" s="481"/>
      <c r="H3" s="481"/>
      <c r="I3" s="477"/>
      <c r="J3" s="282"/>
    </row>
    <row r="4" spans="1:10" x14ac:dyDescent="0.25">
      <c r="A4" s="487" t="s">
        <v>967</v>
      </c>
      <c r="B4" s="481"/>
      <c r="C4" s="488" t="s">
        <v>1224</v>
      </c>
      <c r="D4" s="481"/>
      <c r="E4" s="488" t="s">
        <v>19</v>
      </c>
      <c r="F4" s="488" t="s">
        <v>1223</v>
      </c>
      <c r="G4" s="481"/>
      <c r="H4" s="488" t="s">
        <v>966</v>
      </c>
      <c r="I4" s="486"/>
      <c r="J4" s="282"/>
    </row>
    <row r="5" spans="1:10" x14ac:dyDescent="0.25">
      <c r="A5" s="480"/>
      <c r="B5" s="481"/>
      <c r="C5" s="481"/>
      <c r="D5" s="481"/>
      <c r="E5" s="481"/>
      <c r="F5" s="481"/>
      <c r="G5" s="481"/>
      <c r="H5" s="481"/>
      <c r="I5" s="477"/>
      <c r="J5" s="282"/>
    </row>
    <row r="6" spans="1:10" x14ac:dyDescent="0.25">
      <c r="A6" s="487" t="s">
        <v>968</v>
      </c>
      <c r="B6" s="481"/>
      <c r="C6" s="488"/>
      <c r="D6" s="481"/>
      <c r="E6" s="488" t="s">
        <v>18</v>
      </c>
      <c r="F6" s="488" t="s">
        <v>1223</v>
      </c>
      <c r="G6" s="481"/>
      <c r="H6" s="488" t="s">
        <v>966</v>
      </c>
      <c r="I6" s="486"/>
      <c r="J6" s="282"/>
    </row>
    <row r="7" spans="1:10" x14ac:dyDescent="0.25">
      <c r="A7" s="480"/>
      <c r="B7" s="481"/>
      <c r="C7" s="481"/>
      <c r="D7" s="481"/>
      <c r="E7" s="481"/>
      <c r="F7" s="481"/>
      <c r="G7" s="481"/>
      <c r="H7" s="481"/>
      <c r="I7" s="477"/>
      <c r="J7" s="282"/>
    </row>
    <row r="8" spans="1:10" x14ac:dyDescent="0.25">
      <c r="A8" s="487" t="s">
        <v>969</v>
      </c>
      <c r="B8" s="481"/>
      <c r="C8" s="488"/>
      <c r="D8" s="481"/>
      <c r="E8" s="488" t="s">
        <v>970</v>
      </c>
      <c r="F8" s="488" t="s">
        <v>1016</v>
      </c>
      <c r="G8" s="481"/>
      <c r="H8" s="491" t="s">
        <v>971</v>
      </c>
      <c r="I8" s="486" t="s">
        <v>972</v>
      </c>
      <c r="J8" s="282"/>
    </row>
    <row r="9" spans="1:10" x14ac:dyDescent="0.25">
      <c r="A9" s="480"/>
      <c r="B9" s="481"/>
      <c r="C9" s="481"/>
      <c r="D9" s="481"/>
      <c r="E9" s="481"/>
      <c r="F9" s="481"/>
      <c r="G9" s="481"/>
      <c r="H9" s="481"/>
      <c r="I9" s="477"/>
      <c r="J9" s="282"/>
    </row>
    <row r="10" spans="1:10" x14ac:dyDescent="0.25">
      <c r="A10" s="487" t="s">
        <v>973</v>
      </c>
      <c r="B10" s="481"/>
      <c r="C10" s="488" t="s">
        <v>1016</v>
      </c>
      <c r="D10" s="481"/>
      <c r="E10" s="488" t="s">
        <v>974</v>
      </c>
      <c r="F10" s="488" t="s">
        <v>1223</v>
      </c>
      <c r="G10" s="481"/>
      <c r="H10" s="491" t="s">
        <v>975</v>
      </c>
      <c r="I10" s="489"/>
      <c r="J10" s="282"/>
    </row>
    <row r="11" spans="1:10" x14ac:dyDescent="0.25">
      <c r="A11" s="492"/>
      <c r="B11" s="493"/>
      <c r="C11" s="493"/>
      <c r="D11" s="493"/>
      <c r="E11" s="493"/>
      <c r="F11" s="493"/>
      <c r="G11" s="493"/>
      <c r="H11" s="493"/>
      <c r="I11" s="490"/>
      <c r="J11" s="282"/>
    </row>
    <row r="12" spans="1:10" ht="23.5" customHeight="1" x14ac:dyDescent="0.25">
      <c r="A12" s="494" t="s">
        <v>976</v>
      </c>
      <c r="B12" s="495"/>
      <c r="C12" s="495"/>
      <c r="D12" s="495"/>
      <c r="E12" s="495"/>
      <c r="F12" s="495"/>
      <c r="G12" s="495"/>
      <c r="H12" s="495"/>
      <c r="I12" s="495"/>
    </row>
    <row r="13" spans="1:10" ht="26.5" customHeight="1" x14ac:dyDescent="0.25">
      <c r="A13" s="283" t="s">
        <v>977</v>
      </c>
      <c r="B13" s="496" t="s">
        <v>978</v>
      </c>
      <c r="C13" s="497"/>
      <c r="D13" s="283" t="s">
        <v>979</v>
      </c>
      <c r="E13" s="496" t="s">
        <v>980</v>
      </c>
      <c r="F13" s="497"/>
      <c r="G13" s="283" t="s">
        <v>981</v>
      </c>
      <c r="H13" s="496" t="s">
        <v>982</v>
      </c>
      <c r="I13" s="497"/>
      <c r="J13" s="282"/>
    </row>
    <row r="14" spans="1:10" ht="15.25" customHeight="1" x14ac:dyDescent="0.25">
      <c r="A14" s="284" t="s">
        <v>23</v>
      </c>
      <c r="B14" s="285" t="s">
        <v>666</v>
      </c>
      <c r="C14" s="533"/>
      <c r="D14" s="498" t="s">
        <v>983</v>
      </c>
      <c r="E14" s="499"/>
      <c r="F14" s="286">
        <v>0</v>
      </c>
      <c r="G14" s="498" t="s">
        <v>572</v>
      </c>
      <c r="H14" s="499"/>
      <c r="I14" s="286">
        <v>0</v>
      </c>
      <c r="J14" s="282"/>
    </row>
    <row r="15" spans="1:10" ht="15.25" customHeight="1" x14ac:dyDescent="0.25">
      <c r="A15" s="287"/>
      <c r="B15" s="285" t="s">
        <v>30</v>
      </c>
      <c r="C15" s="533"/>
      <c r="D15" s="498" t="s">
        <v>984</v>
      </c>
      <c r="E15" s="499"/>
      <c r="F15" s="286">
        <v>0</v>
      </c>
      <c r="G15" s="498" t="s">
        <v>985</v>
      </c>
      <c r="H15" s="499"/>
      <c r="I15" s="286">
        <v>0</v>
      </c>
      <c r="J15" s="282"/>
    </row>
    <row r="16" spans="1:10" ht="15.25" customHeight="1" x14ac:dyDescent="0.25">
      <c r="A16" s="284" t="s">
        <v>24</v>
      </c>
      <c r="B16" s="285" t="s">
        <v>666</v>
      </c>
      <c r="C16" s="533"/>
      <c r="D16" s="498" t="s">
        <v>986</v>
      </c>
      <c r="E16" s="499"/>
      <c r="F16" s="286">
        <v>0</v>
      </c>
      <c r="G16" s="498" t="s">
        <v>987</v>
      </c>
      <c r="H16" s="499"/>
      <c r="I16" s="286">
        <v>0</v>
      </c>
      <c r="J16" s="282"/>
    </row>
    <row r="17" spans="1:10" ht="15.25" customHeight="1" x14ac:dyDescent="0.25">
      <c r="A17" s="287"/>
      <c r="B17" s="285" t="s">
        <v>30</v>
      </c>
      <c r="C17" s="533"/>
      <c r="D17" s="498"/>
      <c r="E17" s="499"/>
      <c r="F17" s="288"/>
      <c r="G17" s="498" t="s">
        <v>988</v>
      </c>
      <c r="H17" s="499"/>
      <c r="I17" s="286">
        <v>0</v>
      </c>
      <c r="J17" s="282"/>
    </row>
    <row r="18" spans="1:10" ht="15.25" customHeight="1" x14ac:dyDescent="0.25">
      <c r="A18" s="284" t="s">
        <v>989</v>
      </c>
      <c r="B18" s="285" t="s">
        <v>666</v>
      </c>
      <c r="C18" s="533"/>
      <c r="D18" s="498"/>
      <c r="E18" s="499"/>
      <c r="F18" s="288"/>
      <c r="G18" s="498" t="s">
        <v>990</v>
      </c>
      <c r="H18" s="499"/>
      <c r="I18" s="286">
        <v>0</v>
      </c>
      <c r="J18" s="282"/>
    </row>
    <row r="19" spans="1:10" ht="15.25" customHeight="1" x14ac:dyDescent="0.25">
      <c r="A19" s="287"/>
      <c r="B19" s="285" t="s">
        <v>30</v>
      </c>
      <c r="C19" s="533"/>
      <c r="D19" s="498"/>
      <c r="E19" s="499"/>
      <c r="F19" s="288"/>
      <c r="G19" s="498" t="s">
        <v>991</v>
      </c>
      <c r="H19" s="499"/>
      <c r="I19" s="286">
        <v>0</v>
      </c>
      <c r="J19" s="282"/>
    </row>
    <row r="20" spans="1:10" ht="15.25" customHeight="1" x14ac:dyDescent="0.25">
      <c r="A20" s="500" t="s">
        <v>992</v>
      </c>
      <c r="B20" s="501"/>
      <c r="C20" s="533"/>
      <c r="D20" s="498"/>
      <c r="E20" s="499"/>
      <c r="F20" s="288"/>
      <c r="G20" s="498"/>
      <c r="H20" s="499"/>
      <c r="I20" s="288"/>
      <c r="J20" s="282"/>
    </row>
    <row r="21" spans="1:10" ht="15.25" customHeight="1" x14ac:dyDescent="0.25">
      <c r="A21" s="500" t="s">
        <v>993</v>
      </c>
      <c r="B21" s="501"/>
      <c r="C21" s="533"/>
      <c r="D21" s="498"/>
      <c r="E21" s="499"/>
      <c r="F21" s="288"/>
      <c r="G21" s="498"/>
      <c r="H21" s="499"/>
      <c r="I21" s="288"/>
      <c r="J21" s="282"/>
    </row>
    <row r="22" spans="1:10" ht="16.75" customHeight="1" x14ac:dyDescent="0.25">
      <c r="A22" s="500" t="s">
        <v>994</v>
      </c>
      <c r="B22" s="501"/>
      <c r="C22" s="533">
        <f>'D.1.4.1 ZTI'!K86</f>
        <v>0</v>
      </c>
      <c r="D22" s="500" t="s">
        <v>995</v>
      </c>
      <c r="E22" s="501"/>
      <c r="F22" s="286">
        <f>SUM(F14:F21)</f>
        <v>0</v>
      </c>
      <c r="G22" s="500" t="s">
        <v>996</v>
      </c>
      <c r="H22" s="501"/>
      <c r="I22" s="286">
        <f>SUM(I14:I21)</f>
        <v>0</v>
      </c>
      <c r="J22" s="282"/>
    </row>
    <row r="23" spans="1:10" ht="15.25" customHeight="1" thickBot="1" x14ac:dyDescent="0.3">
      <c r="A23" s="289"/>
      <c r="B23" s="289"/>
      <c r="C23" s="290"/>
      <c r="D23" s="500" t="s">
        <v>997</v>
      </c>
      <c r="E23" s="501"/>
      <c r="F23" s="291">
        <v>0</v>
      </c>
      <c r="G23" s="500" t="s">
        <v>998</v>
      </c>
      <c r="H23" s="501"/>
      <c r="I23" s="286">
        <v>0</v>
      </c>
      <c r="J23" s="282"/>
    </row>
    <row r="24" spans="1:10" ht="15.25" customHeight="1" x14ac:dyDescent="0.25">
      <c r="D24" s="289"/>
      <c r="E24" s="289"/>
      <c r="F24" s="292"/>
      <c r="G24" s="500" t="s">
        <v>999</v>
      </c>
      <c r="H24" s="501"/>
      <c r="I24" s="286">
        <v>0</v>
      </c>
      <c r="J24" s="282"/>
    </row>
    <row r="25" spans="1:10" ht="15.25" customHeight="1" x14ac:dyDescent="0.25">
      <c r="F25" s="293"/>
      <c r="G25" s="500" t="s">
        <v>1000</v>
      </c>
      <c r="H25" s="501"/>
      <c r="I25" s="286">
        <v>0</v>
      </c>
      <c r="J25" s="282"/>
    </row>
    <row r="26" spans="1:10" x14ac:dyDescent="0.25">
      <c r="A26" s="280"/>
      <c r="B26" s="280"/>
      <c r="C26" s="280"/>
      <c r="G26" s="289"/>
      <c r="H26" s="289"/>
      <c r="I26" s="289"/>
    </row>
    <row r="27" spans="1:10" ht="15.25" customHeight="1" x14ac:dyDescent="0.25">
      <c r="A27" s="502" t="s">
        <v>1001</v>
      </c>
      <c r="B27" s="503"/>
      <c r="C27" s="294">
        <v>0</v>
      </c>
      <c r="D27" s="295"/>
      <c r="E27" s="280"/>
      <c r="F27" s="280"/>
      <c r="G27" s="280"/>
      <c r="H27" s="280"/>
      <c r="I27" s="280"/>
    </row>
    <row r="28" spans="1:10" ht="15.25" customHeight="1" x14ac:dyDescent="0.25">
      <c r="A28" s="502" t="s">
        <v>1002</v>
      </c>
      <c r="B28" s="503"/>
      <c r="C28" s="294">
        <v>0</v>
      </c>
      <c r="D28" s="502" t="s">
        <v>630</v>
      </c>
      <c r="E28" s="503"/>
      <c r="F28" s="294">
        <f>ROUND(C28*(15/100),2)</f>
        <v>0</v>
      </c>
      <c r="G28" s="502" t="s">
        <v>1003</v>
      </c>
      <c r="H28" s="503"/>
      <c r="I28" s="294">
        <f>SUM(C27:C29)</f>
        <v>0</v>
      </c>
      <c r="J28" s="282"/>
    </row>
    <row r="29" spans="1:10" ht="15.25" customHeight="1" x14ac:dyDescent="0.25">
      <c r="A29" s="502" t="s">
        <v>1004</v>
      </c>
      <c r="B29" s="503"/>
      <c r="C29" s="294">
        <f>C22</f>
        <v>0</v>
      </c>
      <c r="D29" s="502" t="s">
        <v>631</v>
      </c>
      <c r="E29" s="503"/>
      <c r="F29" s="294">
        <f>ROUND(C29*(21/100),2)</f>
        <v>0</v>
      </c>
      <c r="G29" s="502" t="s">
        <v>1005</v>
      </c>
      <c r="H29" s="503"/>
      <c r="I29" s="294">
        <f>SUM(F28:F29)+I28</f>
        <v>0</v>
      </c>
      <c r="J29" s="282"/>
    </row>
  </sheetData>
  <sheetProtection algorithmName="SHA-512" hashValue="L1yR6VPaNihYBilcQgX/ESCcB7IiCehuqjqDVj4u8m4COgc8EMAi77miU4gyOml8wBfVXV0WfOJK1yxnfhticw==" saltValue="N4q9SLQk370nkn2+Ez4MIQ==" spinCount="100000" sheet="1" objects="1" scenarios="1"/>
  <mergeCells count="67">
    <mergeCell ref="A1:I1"/>
    <mergeCell ref="A29:B29"/>
    <mergeCell ref="D29:E29"/>
    <mergeCell ref="G29:H29"/>
    <mergeCell ref="D23:E23"/>
    <mergeCell ref="G23:H23"/>
    <mergeCell ref="G24:H24"/>
    <mergeCell ref="G25:H25"/>
    <mergeCell ref="A27:B27"/>
    <mergeCell ref="A28:B28"/>
    <mergeCell ref="D28:E28"/>
    <mergeCell ref="G28:H28"/>
    <mergeCell ref="A21:B21"/>
    <mergeCell ref="D21:E21"/>
    <mergeCell ref="G21:H21"/>
    <mergeCell ref="A22:B22"/>
    <mergeCell ref="D22:E22"/>
    <mergeCell ref="G22:H22"/>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I2:I3"/>
    <mergeCell ref="A2:B3"/>
    <mergeCell ref="C2:D3"/>
    <mergeCell ref="E2:E3"/>
    <mergeCell ref="F2:G3"/>
    <mergeCell ref="H2:H3"/>
  </mergeCells>
  <pageMargins left="0.39400000000000002" right="0.39400000000000002" top="0.59099999999999997" bottom="0.59099999999999997" header="0.5" footer="0.5"/>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1255-CFB2-4FB3-B3DF-951080EC9F7C}">
  <sheetPr>
    <pageSetUpPr fitToPage="1"/>
  </sheetPr>
  <dimension ref="A1:IT86"/>
  <sheetViews>
    <sheetView workbookViewId="0">
      <pane ySplit="10" topLeftCell="A11" activePane="bottomLeft" state="frozenSplit"/>
      <selection activeCell="C17" sqref="C17:H17"/>
      <selection pane="bottomLeft" activeCell="J15" sqref="J15"/>
    </sheetView>
  </sheetViews>
  <sheetFormatPr defaultColWidth="11.54296875" defaultRowHeight="12.5" x14ac:dyDescent="0.25"/>
  <cols>
    <col min="1" max="1" width="3.7265625" style="319" customWidth="1"/>
    <col min="2" max="2" width="15" style="319" customWidth="1"/>
    <col min="3" max="3" width="71.453125" style="319" customWidth="1"/>
    <col min="4" max="7" width="12.1796875" style="319" hidden="1" customWidth="1"/>
    <col min="8" max="8" width="4.26953125" style="319" customWidth="1"/>
    <col min="9" max="9" width="12.81640625" style="319" customWidth="1"/>
    <col min="10" max="11" width="20.7265625" style="319" customWidth="1"/>
    <col min="12" max="229" width="11.54296875" style="319"/>
    <col min="230" max="231" width="12.1796875" style="319" hidden="1" customWidth="1"/>
    <col min="232" max="250" width="11.54296875" style="319"/>
    <col min="251" max="254" width="12.1796875" style="319" hidden="1" customWidth="1"/>
    <col min="255" max="256" width="11.54296875" style="319"/>
    <col min="257" max="257" width="3.7265625" style="319" customWidth="1"/>
    <col min="258" max="258" width="15" style="319" customWidth="1"/>
    <col min="259" max="259" width="71.453125" style="319" customWidth="1"/>
    <col min="260" max="263" width="0" style="319" hidden="1" customWidth="1"/>
    <col min="264" max="264" width="4.26953125" style="319" customWidth="1"/>
    <col min="265" max="265" width="12.81640625" style="319" customWidth="1"/>
    <col min="266" max="267" width="20.7265625" style="319" customWidth="1"/>
    <col min="268" max="485" width="11.54296875" style="319"/>
    <col min="486" max="487" width="0" style="319" hidden="1" customWidth="1"/>
    <col min="488" max="506" width="11.54296875" style="319"/>
    <col min="507" max="510" width="0" style="319" hidden="1" customWidth="1"/>
    <col min="511" max="512" width="11.54296875" style="319"/>
    <col min="513" max="513" width="3.7265625" style="319" customWidth="1"/>
    <col min="514" max="514" width="15" style="319" customWidth="1"/>
    <col min="515" max="515" width="71.453125" style="319" customWidth="1"/>
    <col min="516" max="519" width="0" style="319" hidden="1" customWidth="1"/>
    <col min="520" max="520" width="4.26953125" style="319" customWidth="1"/>
    <col min="521" max="521" width="12.81640625" style="319" customWidth="1"/>
    <col min="522" max="523" width="20.7265625" style="319" customWidth="1"/>
    <col min="524" max="741" width="11.54296875" style="319"/>
    <col min="742" max="743" width="0" style="319" hidden="1" customWidth="1"/>
    <col min="744" max="762" width="11.54296875" style="319"/>
    <col min="763" max="766" width="0" style="319" hidden="1" customWidth="1"/>
    <col min="767" max="768" width="11.54296875" style="319"/>
    <col min="769" max="769" width="3.7265625" style="319" customWidth="1"/>
    <col min="770" max="770" width="15" style="319" customWidth="1"/>
    <col min="771" max="771" width="71.453125" style="319" customWidth="1"/>
    <col min="772" max="775" width="0" style="319" hidden="1" customWidth="1"/>
    <col min="776" max="776" width="4.26953125" style="319" customWidth="1"/>
    <col min="777" max="777" width="12.81640625" style="319" customWidth="1"/>
    <col min="778" max="779" width="20.7265625" style="319" customWidth="1"/>
    <col min="780" max="997" width="11.54296875" style="319"/>
    <col min="998" max="999" width="0" style="319" hidden="1" customWidth="1"/>
    <col min="1000" max="1018" width="11.54296875" style="319"/>
    <col min="1019" max="1022" width="0" style="319" hidden="1" customWidth="1"/>
    <col min="1023" max="1024" width="11.54296875" style="319"/>
    <col min="1025" max="1025" width="3.7265625" style="319" customWidth="1"/>
    <col min="1026" max="1026" width="15" style="319" customWidth="1"/>
    <col min="1027" max="1027" width="71.453125" style="319" customWidth="1"/>
    <col min="1028" max="1031" width="0" style="319" hidden="1" customWidth="1"/>
    <col min="1032" max="1032" width="4.26953125" style="319" customWidth="1"/>
    <col min="1033" max="1033" width="12.81640625" style="319" customWidth="1"/>
    <col min="1034" max="1035" width="20.7265625" style="319" customWidth="1"/>
    <col min="1036" max="1253" width="11.54296875" style="319"/>
    <col min="1254" max="1255" width="0" style="319" hidden="1" customWidth="1"/>
    <col min="1256" max="1274" width="11.54296875" style="319"/>
    <col min="1275" max="1278" width="0" style="319" hidden="1" customWidth="1"/>
    <col min="1279" max="1280" width="11.54296875" style="319"/>
    <col min="1281" max="1281" width="3.7265625" style="319" customWidth="1"/>
    <col min="1282" max="1282" width="15" style="319" customWidth="1"/>
    <col min="1283" max="1283" width="71.453125" style="319" customWidth="1"/>
    <col min="1284" max="1287" width="0" style="319" hidden="1" customWidth="1"/>
    <col min="1288" max="1288" width="4.26953125" style="319" customWidth="1"/>
    <col min="1289" max="1289" width="12.81640625" style="319" customWidth="1"/>
    <col min="1290" max="1291" width="20.7265625" style="319" customWidth="1"/>
    <col min="1292" max="1509" width="11.54296875" style="319"/>
    <col min="1510" max="1511" width="0" style="319" hidden="1" customWidth="1"/>
    <col min="1512" max="1530" width="11.54296875" style="319"/>
    <col min="1531" max="1534" width="0" style="319" hidden="1" customWidth="1"/>
    <col min="1535" max="1536" width="11.54296875" style="319"/>
    <col min="1537" max="1537" width="3.7265625" style="319" customWidth="1"/>
    <col min="1538" max="1538" width="15" style="319" customWidth="1"/>
    <col min="1539" max="1539" width="71.453125" style="319" customWidth="1"/>
    <col min="1540" max="1543" width="0" style="319" hidden="1" customWidth="1"/>
    <col min="1544" max="1544" width="4.26953125" style="319" customWidth="1"/>
    <col min="1545" max="1545" width="12.81640625" style="319" customWidth="1"/>
    <col min="1546" max="1547" width="20.7265625" style="319" customWidth="1"/>
    <col min="1548" max="1765" width="11.54296875" style="319"/>
    <col min="1766" max="1767" width="0" style="319" hidden="1" customWidth="1"/>
    <col min="1768" max="1786" width="11.54296875" style="319"/>
    <col min="1787" max="1790" width="0" style="319" hidden="1" customWidth="1"/>
    <col min="1791" max="1792" width="11.54296875" style="319"/>
    <col min="1793" max="1793" width="3.7265625" style="319" customWidth="1"/>
    <col min="1794" max="1794" width="15" style="319" customWidth="1"/>
    <col min="1795" max="1795" width="71.453125" style="319" customWidth="1"/>
    <col min="1796" max="1799" width="0" style="319" hidden="1" customWidth="1"/>
    <col min="1800" max="1800" width="4.26953125" style="319" customWidth="1"/>
    <col min="1801" max="1801" width="12.81640625" style="319" customWidth="1"/>
    <col min="1802" max="1803" width="20.7265625" style="319" customWidth="1"/>
    <col min="1804" max="2021" width="11.54296875" style="319"/>
    <col min="2022" max="2023" width="0" style="319" hidden="1" customWidth="1"/>
    <col min="2024" max="2042" width="11.54296875" style="319"/>
    <col min="2043" max="2046" width="0" style="319" hidden="1" customWidth="1"/>
    <col min="2047" max="2048" width="11.54296875" style="319"/>
    <col min="2049" max="2049" width="3.7265625" style="319" customWidth="1"/>
    <col min="2050" max="2050" width="15" style="319" customWidth="1"/>
    <col min="2051" max="2051" width="71.453125" style="319" customWidth="1"/>
    <col min="2052" max="2055" width="0" style="319" hidden="1" customWidth="1"/>
    <col min="2056" max="2056" width="4.26953125" style="319" customWidth="1"/>
    <col min="2057" max="2057" width="12.81640625" style="319" customWidth="1"/>
    <col min="2058" max="2059" width="20.7265625" style="319" customWidth="1"/>
    <col min="2060" max="2277" width="11.54296875" style="319"/>
    <col min="2278" max="2279" width="0" style="319" hidden="1" customWidth="1"/>
    <col min="2280" max="2298" width="11.54296875" style="319"/>
    <col min="2299" max="2302" width="0" style="319" hidden="1" customWidth="1"/>
    <col min="2303" max="2304" width="11.54296875" style="319"/>
    <col min="2305" max="2305" width="3.7265625" style="319" customWidth="1"/>
    <col min="2306" max="2306" width="15" style="319" customWidth="1"/>
    <col min="2307" max="2307" width="71.453125" style="319" customWidth="1"/>
    <col min="2308" max="2311" width="0" style="319" hidden="1" customWidth="1"/>
    <col min="2312" max="2312" width="4.26953125" style="319" customWidth="1"/>
    <col min="2313" max="2313" width="12.81640625" style="319" customWidth="1"/>
    <col min="2314" max="2315" width="20.7265625" style="319" customWidth="1"/>
    <col min="2316" max="2533" width="11.54296875" style="319"/>
    <col min="2534" max="2535" width="0" style="319" hidden="1" customWidth="1"/>
    <col min="2536" max="2554" width="11.54296875" style="319"/>
    <col min="2555" max="2558" width="0" style="319" hidden="1" customWidth="1"/>
    <col min="2559" max="2560" width="11.54296875" style="319"/>
    <col min="2561" max="2561" width="3.7265625" style="319" customWidth="1"/>
    <col min="2562" max="2562" width="15" style="319" customWidth="1"/>
    <col min="2563" max="2563" width="71.453125" style="319" customWidth="1"/>
    <col min="2564" max="2567" width="0" style="319" hidden="1" customWidth="1"/>
    <col min="2568" max="2568" width="4.26953125" style="319" customWidth="1"/>
    <col min="2569" max="2569" width="12.81640625" style="319" customWidth="1"/>
    <col min="2570" max="2571" width="20.7265625" style="319" customWidth="1"/>
    <col min="2572" max="2789" width="11.54296875" style="319"/>
    <col min="2790" max="2791" width="0" style="319" hidden="1" customWidth="1"/>
    <col min="2792" max="2810" width="11.54296875" style="319"/>
    <col min="2811" max="2814" width="0" style="319" hidden="1" customWidth="1"/>
    <col min="2815" max="2816" width="11.54296875" style="319"/>
    <col min="2817" max="2817" width="3.7265625" style="319" customWidth="1"/>
    <col min="2818" max="2818" width="15" style="319" customWidth="1"/>
    <col min="2819" max="2819" width="71.453125" style="319" customWidth="1"/>
    <col min="2820" max="2823" width="0" style="319" hidden="1" customWidth="1"/>
    <col min="2824" max="2824" width="4.26953125" style="319" customWidth="1"/>
    <col min="2825" max="2825" width="12.81640625" style="319" customWidth="1"/>
    <col min="2826" max="2827" width="20.7265625" style="319" customWidth="1"/>
    <col min="2828" max="3045" width="11.54296875" style="319"/>
    <col min="3046" max="3047" width="0" style="319" hidden="1" customWidth="1"/>
    <col min="3048" max="3066" width="11.54296875" style="319"/>
    <col min="3067" max="3070" width="0" style="319" hidden="1" customWidth="1"/>
    <col min="3071" max="3072" width="11.54296875" style="319"/>
    <col min="3073" max="3073" width="3.7265625" style="319" customWidth="1"/>
    <col min="3074" max="3074" width="15" style="319" customWidth="1"/>
    <col min="3075" max="3075" width="71.453125" style="319" customWidth="1"/>
    <col min="3076" max="3079" width="0" style="319" hidden="1" customWidth="1"/>
    <col min="3080" max="3080" width="4.26953125" style="319" customWidth="1"/>
    <col min="3081" max="3081" width="12.81640625" style="319" customWidth="1"/>
    <col min="3082" max="3083" width="20.7265625" style="319" customWidth="1"/>
    <col min="3084" max="3301" width="11.54296875" style="319"/>
    <col min="3302" max="3303" width="0" style="319" hidden="1" customWidth="1"/>
    <col min="3304" max="3322" width="11.54296875" style="319"/>
    <col min="3323" max="3326" width="0" style="319" hidden="1" customWidth="1"/>
    <col min="3327" max="3328" width="11.54296875" style="319"/>
    <col min="3329" max="3329" width="3.7265625" style="319" customWidth="1"/>
    <col min="3330" max="3330" width="15" style="319" customWidth="1"/>
    <col min="3331" max="3331" width="71.453125" style="319" customWidth="1"/>
    <col min="3332" max="3335" width="0" style="319" hidden="1" customWidth="1"/>
    <col min="3336" max="3336" width="4.26953125" style="319" customWidth="1"/>
    <col min="3337" max="3337" width="12.81640625" style="319" customWidth="1"/>
    <col min="3338" max="3339" width="20.7265625" style="319" customWidth="1"/>
    <col min="3340" max="3557" width="11.54296875" style="319"/>
    <col min="3558" max="3559" width="0" style="319" hidden="1" customWidth="1"/>
    <col min="3560" max="3578" width="11.54296875" style="319"/>
    <col min="3579" max="3582" width="0" style="319" hidden="1" customWidth="1"/>
    <col min="3583" max="3584" width="11.54296875" style="319"/>
    <col min="3585" max="3585" width="3.7265625" style="319" customWidth="1"/>
    <col min="3586" max="3586" width="15" style="319" customWidth="1"/>
    <col min="3587" max="3587" width="71.453125" style="319" customWidth="1"/>
    <col min="3588" max="3591" width="0" style="319" hidden="1" customWidth="1"/>
    <col min="3592" max="3592" width="4.26953125" style="319" customWidth="1"/>
    <col min="3593" max="3593" width="12.81640625" style="319" customWidth="1"/>
    <col min="3594" max="3595" width="20.7265625" style="319" customWidth="1"/>
    <col min="3596" max="3813" width="11.54296875" style="319"/>
    <col min="3814" max="3815" width="0" style="319" hidden="1" customWidth="1"/>
    <col min="3816" max="3834" width="11.54296875" style="319"/>
    <col min="3835" max="3838" width="0" style="319" hidden="1" customWidth="1"/>
    <col min="3839" max="3840" width="11.54296875" style="319"/>
    <col min="3841" max="3841" width="3.7265625" style="319" customWidth="1"/>
    <col min="3842" max="3842" width="15" style="319" customWidth="1"/>
    <col min="3843" max="3843" width="71.453125" style="319" customWidth="1"/>
    <col min="3844" max="3847" width="0" style="319" hidden="1" customWidth="1"/>
    <col min="3848" max="3848" width="4.26953125" style="319" customWidth="1"/>
    <col min="3849" max="3849" width="12.81640625" style="319" customWidth="1"/>
    <col min="3850" max="3851" width="20.7265625" style="319" customWidth="1"/>
    <col min="3852" max="4069" width="11.54296875" style="319"/>
    <col min="4070" max="4071" width="0" style="319" hidden="1" customWidth="1"/>
    <col min="4072" max="4090" width="11.54296875" style="319"/>
    <col min="4091" max="4094" width="0" style="319" hidden="1" customWidth="1"/>
    <col min="4095" max="4096" width="11.54296875" style="319"/>
    <col min="4097" max="4097" width="3.7265625" style="319" customWidth="1"/>
    <col min="4098" max="4098" width="15" style="319" customWidth="1"/>
    <col min="4099" max="4099" width="71.453125" style="319" customWidth="1"/>
    <col min="4100" max="4103" width="0" style="319" hidden="1" customWidth="1"/>
    <col min="4104" max="4104" width="4.26953125" style="319" customWidth="1"/>
    <col min="4105" max="4105" width="12.81640625" style="319" customWidth="1"/>
    <col min="4106" max="4107" width="20.7265625" style="319" customWidth="1"/>
    <col min="4108" max="4325" width="11.54296875" style="319"/>
    <col min="4326" max="4327" width="0" style="319" hidden="1" customWidth="1"/>
    <col min="4328" max="4346" width="11.54296875" style="319"/>
    <col min="4347" max="4350" width="0" style="319" hidden="1" customWidth="1"/>
    <col min="4351" max="4352" width="11.54296875" style="319"/>
    <col min="4353" max="4353" width="3.7265625" style="319" customWidth="1"/>
    <col min="4354" max="4354" width="15" style="319" customWidth="1"/>
    <col min="4355" max="4355" width="71.453125" style="319" customWidth="1"/>
    <col min="4356" max="4359" width="0" style="319" hidden="1" customWidth="1"/>
    <col min="4360" max="4360" width="4.26953125" style="319" customWidth="1"/>
    <col min="4361" max="4361" width="12.81640625" style="319" customWidth="1"/>
    <col min="4362" max="4363" width="20.7265625" style="319" customWidth="1"/>
    <col min="4364" max="4581" width="11.54296875" style="319"/>
    <col min="4582" max="4583" width="0" style="319" hidden="1" customWidth="1"/>
    <col min="4584" max="4602" width="11.54296875" style="319"/>
    <col min="4603" max="4606" width="0" style="319" hidden="1" customWidth="1"/>
    <col min="4607" max="4608" width="11.54296875" style="319"/>
    <col min="4609" max="4609" width="3.7265625" style="319" customWidth="1"/>
    <col min="4610" max="4610" width="15" style="319" customWidth="1"/>
    <col min="4611" max="4611" width="71.453125" style="319" customWidth="1"/>
    <col min="4612" max="4615" width="0" style="319" hidden="1" customWidth="1"/>
    <col min="4616" max="4616" width="4.26953125" style="319" customWidth="1"/>
    <col min="4617" max="4617" width="12.81640625" style="319" customWidth="1"/>
    <col min="4618" max="4619" width="20.7265625" style="319" customWidth="1"/>
    <col min="4620" max="4837" width="11.54296875" style="319"/>
    <col min="4838" max="4839" width="0" style="319" hidden="1" customWidth="1"/>
    <col min="4840" max="4858" width="11.54296875" style="319"/>
    <col min="4859" max="4862" width="0" style="319" hidden="1" customWidth="1"/>
    <col min="4863" max="4864" width="11.54296875" style="319"/>
    <col min="4865" max="4865" width="3.7265625" style="319" customWidth="1"/>
    <col min="4866" max="4866" width="15" style="319" customWidth="1"/>
    <col min="4867" max="4867" width="71.453125" style="319" customWidth="1"/>
    <col min="4868" max="4871" width="0" style="319" hidden="1" customWidth="1"/>
    <col min="4872" max="4872" width="4.26953125" style="319" customWidth="1"/>
    <col min="4873" max="4873" width="12.81640625" style="319" customWidth="1"/>
    <col min="4874" max="4875" width="20.7265625" style="319" customWidth="1"/>
    <col min="4876" max="5093" width="11.54296875" style="319"/>
    <col min="5094" max="5095" width="0" style="319" hidden="1" customWidth="1"/>
    <col min="5096" max="5114" width="11.54296875" style="319"/>
    <col min="5115" max="5118" width="0" style="319" hidden="1" customWidth="1"/>
    <col min="5119" max="5120" width="11.54296875" style="319"/>
    <col min="5121" max="5121" width="3.7265625" style="319" customWidth="1"/>
    <col min="5122" max="5122" width="15" style="319" customWidth="1"/>
    <col min="5123" max="5123" width="71.453125" style="319" customWidth="1"/>
    <col min="5124" max="5127" width="0" style="319" hidden="1" customWidth="1"/>
    <col min="5128" max="5128" width="4.26953125" style="319" customWidth="1"/>
    <col min="5129" max="5129" width="12.81640625" style="319" customWidth="1"/>
    <col min="5130" max="5131" width="20.7265625" style="319" customWidth="1"/>
    <col min="5132" max="5349" width="11.54296875" style="319"/>
    <col min="5350" max="5351" width="0" style="319" hidden="1" customWidth="1"/>
    <col min="5352" max="5370" width="11.54296875" style="319"/>
    <col min="5371" max="5374" width="0" style="319" hidden="1" customWidth="1"/>
    <col min="5375" max="5376" width="11.54296875" style="319"/>
    <col min="5377" max="5377" width="3.7265625" style="319" customWidth="1"/>
    <col min="5378" max="5378" width="15" style="319" customWidth="1"/>
    <col min="5379" max="5379" width="71.453125" style="319" customWidth="1"/>
    <col min="5380" max="5383" width="0" style="319" hidden="1" customWidth="1"/>
    <col min="5384" max="5384" width="4.26953125" style="319" customWidth="1"/>
    <col min="5385" max="5385" width="12.81640625" style="319" customWidth="1"/>
    <col min="5386" max="5387" width="20.7265625" style="319" customWidth="1"/>
    <col min="5388" max="5605" width="11.54296875" style="319"/>
    <col min="5606" max="5607" width="0" style="319" hidden="1" customWidth="1"/>
    <col min="5608" max="5626" width="11.54296875" style="319"/>
    <col min="5627" max="5630" width="0" style="319" hidden="1" customWidth="1"/>
    <col min="5631" max="5632" width="11.54296875" style="319"/>
    <col min="5633" max="5633" width="3.7265625" style="319" customWidth="1"/>
    <col min="5634" max="5634" width="15" style="319" customWidth="1"/>
    <col min="5635" max="5635" width="71.453125" style="319" customWidth="1"/>
    <col min="5636" max="5639" width="0" style="319" hidden="1" customWidth="1"/>
    <col min="5640" max="5640" width="4.26953125" style="319" customWidth="1"/>
    <col min="5641" max="5641" width="12.81640625" style="319" customWidth="1"/>
    <col min="5642" max="5643" width="20.7265625" style="319" customWidth="1"/>
    <col min="5644" max="5861" width="11.54296875" style="319"/>
    <col min="5862" max="5863" width="0" style="319" hidden="1" customWidth="1"/>
    <col min="5864" max="5882" width="11.54296875" style="319"/>
    <col min="5883" max="5886" width="0" style="319" hidden="1" customWidth="1"/>
    <col min="5887" max="5888" width="11.54296875" style="319"/>
    <col min="5889" max="5889" width="3.7265625" style="319" customWidth="1"/>
    <col min="5890" max="5890" width="15" style="319" customWidth="1"/>
    <col min="5891" max="5891" width="71.453125" style="319" customWidth="1"/>
    <col min="5892" max="5895" width="0" style="319" hidden="1" customWidth="1"/>
    <col min="5896" max="5896" width="4.26953125" style="319" customWidth="1"/>
    <col min="5897" max="5897" width="12.81640625" style="319" customWidth="1"/>
    <col min="5898" max="5899" width="20.7265625" style="319" customWidth="1"/>
    <col min="5900" max="6117" width="11.54296875" style="319"/>
    <col min="6118" max="6119" width="0" style="319" hidden="1" customWidth="1"/>
    <col min="6120" max="6138" width="11.54296875" style="319"/>
    <col min="6139" max="6142" width="0" style="319" hidden="1" customWidth="1"/>
    <col min="6143" max="6144" width="11.54296875" style="319"/>
    <col min="6145" max="6145" width="3.7265625" style="319" customWidth="1"/>
    <col min="6146" max="6146" width="15" style="319" customWidth="1"/>
    <col min="6147" max="6147" width="71.453125" style="319" customWidth="1"/>
    <col min="6148" max="6151" width="0" style="319" hidden="1" customWidth="1"/>
    <col min="6152" max="6152" width="4.26953125" style="319" customWidth="1"/>
    <col min="6153" max="6153" width="12.81640625" style="319" customWidth="1"/>
    <col min="6154" max="6155" width="20.7265625" style="319" customWidth="1"/>
    <col min="6156" max="6373" width="11.54296875" style="319"/>
    <col min="6374" max="6375" width="0" style="319" hidden="1" customWidth="1"/>
    <col min="6376" max="6394" width="11.54296875" style="319"/>
    <col min="6395" max="6398" width="0" style="319" hidden="1" customWidth="1"/>
    <col min="6399" max="6400" width="11.54296875" style="319"/>
    <col min="6401" max="6401" width="3.7265625" style="319" customWidth="1"/>
    <col min="6402" max="6402" width="15" style="319" customWidth="1"/>
    <col min="6403" max="6403" width="71.453125" style="319" customWidth="1"/>
    <col min="6404" max="6407" width="0" style="319" hidden="1" customWidth="1"/>
    <col min="6408" max="6408" width="4.26953125" style="319" customWidth="1"/>
    <col min="6409" max="6409" width="12.81640625" style="319" customWidth="1"/>
    <col min="6410" max="6411" width="20.7265625" style="319" customWidth="1"/>
    <col min="6412" max="6629" width="11.54296875" style="319"/>
    <col min="6630" max="6631" width="0" style="319" hidden="1" customWidth="1"/>
    <col min="6632" max="6650" width="11.54296875" style="319"/>
    <col min="6651" max="6654" width="0" style="319" hidden="1" customWidth="1"/>
    <col min="6655" max="6656" width="11.54296875" style="319"/>
    <col min="6657" max="6657" width="3.7265625" style="319" customWidth="1"/>
    <col min="6658" max="6658" width="15" style="319" customWidth="1"/>
    <col min="6659" max="6659" width="71.453125" style="319" customWidth="1"/>
    <col min="6660" max="6663" width="0" style="319" hidden="1" customWidth="1"/>
    <col min="6664" max="6664" width="4.26953125" style="319" customWidth="1"/>
    <col min="6665" max="6665" width="12.81640625" style="319" customWidth="1"/>
    <col min="6666" max="6667" width="20.7265625" style="319" customWidth="1"/>
    <col min="6668" max="6885" width="11.54296875" style="319"/>
    <col min="6886" max="6887" width="0" style="319" hidden="1" customWidth="1"/>
    <col min="6888" max="6906" width="11.54296875" style="319"/>
    <col min="6907" max="6910" width="0" style="319" hidden="1" customWidth="1"/>
    <col min="6911" max="6912" width="11.54296875" style="319"/>
    <col min="6913" max="6913" width="3.7265625" style="319" customWidth="1"/>
    <col min="6914" max="6914" width="15" style="319" customWidth="1"/>
    <col min="6915" max="6915" width="71.453125" style="319" customWidth="1"/>
    <col min="6916" max="6919" width="0" style="319" hidden="1" customWidth="1"/>
    <col min="6920" max="6920" width="4.26953125" style="319" customWidth="1"/>
    <col min="6921" max="6921" width="12.81640625" style="319" customWidth="1"/>
    <col min="6922" max="6923" width="20.7265625" style="319" customWidth="1"/>
    <col min="6924" max="7141" width="11.54296875" style="319"/>
    <col min="7142" max="7143" width="0" style="319" hidden="1" customWidth="1"/>
    <col min="7144" max="7162" width="11.54296875" style="319"/>
    <col min="7163" max="7166" width="0" style="319" hidden="1" customWidth="1"/>
    <col min="7167" max="7168" width="11.54296875" style="319"/>
    <col min="7169" max="7169" width="3.7265625" style="319" customWidth="1"/>
    <col min="7170" max="7170" width="15" style="319" customWidth="1"/>
    <col min="7171" max="7171" width="71.453125" style="319" customWidth="1"/>
    <col min="7172" max="7175" width="0" style="319" hidden="1" customWidth="1"/>
    <col min="7176" max="7176" width="4.26953125" style="319" customWidth="1"/>
    <col min="7177" max="7177" width="12.81640625" style="319" customWidth="1"/>
    <col min="7178" max="7179" width="20.7265625" style="319" customWidth="1"/>
    <col min="7180" max="7397" width="11.54296875" style="319"/>
    <col min="7398" max="7399" width="0" style="319" hidden="1" customWidth="1"/>
    <col min="7400" max="7418" width="11.54296875" style="319"/>
    <col min="7419" max="7422" width="0" style="319" hidden="1" customWidth="1"/>
    <col min="7423" max="7424" width="11.54296875" style="319"/>
    <col min="7425" max="7425" width="3.7265625" style="319" customWidth="1"/>
    <col min="7426" max="7426" width="15" style="319" customWidth="1"/>
    <col min="7427" max="7427" width="71.453125" style="319" customWidth="1"/>
    <col min="7428" max="7431" width="0" style="319" hidden="1" customWidth="1"/>
    <col min="7432" max="7432" width="4.26953125" style="319" customWidth="1"/>
    <col min="7433" max="7433" width="12.81640625" style="319" customWidth="1"/>
    <col min="7434" max="7435" width="20.7265625" style="319" customWidth="1"/>
    <col min="7436" max="7653" width="11.54296875" style="319"/>
    <col min="7654" max="7655" width="0" style="319" hidden="1" customWidth="1"/>
    <col min="7656" max="7674" width="11.54296875" style="319"/>
    <col min="7675" max="7678" width="0" style="319" hidden="1" customWidth="1"/>
    <col min="7679" max="7680" width="11.54296875" style="319"/>
    <col min="7681" max="7681" width="3.7265625" style="319" customWidth="1"/>
    <col min="7682" max="7682" width="15" style="319" customWidth="1"/>
    <col min="7683" max="7683" width="71.453125" style="319" customWidth="1"/>
    <col min="7684" max="7687" width="0" style="319" hidden="1" customWidth="1"/>
    <col min="7688" max="7688" width="4.26953125" style="319" customWidth="1"/>
    <col min="7689" max="7689" width="12.81640625" style="319" customWidth="1"/>
    <col min="7690" max="7691" width="20.7265625" style="319" customWidth="1"/>
    <col min="7692" max="7909" width="11.54296875" style="319"/>
    <col min="7910" max="7911" width="0" style="319" hidden="1" customWidth="1"/>
    <col min="7912" max="7930" width="11.54296875" style="319"/>
    <col min="7931" max="7934" width="0" style="319" hidden="1" customWidth="1"/>
    <col min="7935" max="7936" width="11.54296875" style="319"/>
    <col min="7937" max="7937" width="3.7265625" style="319" customWidth="1"/>
    <col min="7938" max="7938" width="15" style="319" customWidth="1"/>
    <col min="7939" max="7939" width="71.453125" style="319" customWidth="1"/>
    <col min="7940" max="7943" width="0" style="319" hidden="1" customWidth="1"/>
    <col min="7944" max="7944" width="4.26953125" style="319" customWidth="1"/>
    <col min="7945" max="7945" width="12.81640625" style="319" customWidth="1"/>
    <col min="7946" max="7947" width="20.7265625" style="319" customWidth="1"/>
    <col min="7948" max="8165" width="11.54296875" style="319"/>
    <col min="8166" max="8167" width="0" style="319" hidden="1" customWidth="1"/>
    <col min="8168" max="8186" width="11.54296875" style="319"/>
    <col min="8187" max="8190" width="0" style="319" hidden="1" customWidth="1"/>
    <col min="8191" max="8192" width="11.54296875" style="319"/>
    <col min="8193" max="8193" width="3.7265625" style="319" customWidth="1"/>
    <col min="8194" max="8194" width="15" style="319" customWidth="1"/>
    <col min="8195" max="8195" width="71.453125" style="319" customWidth="1"/>
    <col min="8196" max="8199" width="0" style="319" hidden="1" customWidth="1"/>
    <col min="8200" max="8200" width="4.26953125" style="319" customWidth="1"/>
    <col min="8201" max="8201" width="12.81640625" style="319" customWidth="1"/>
    <col min="8202" max="8203" width="20.7265625" style="319" customWidth="1"/>
    <col min="8204" max="8421" width="11.54296875" style="319"/>
    <col min="8422" max="8423" width="0" style="319" hidden="1" customWidth="1"/>
    <col min="8424" max="8442" width="11.54296875" style="319"/>
    <col min="8443" max="8446" width="0" style="319" hidden="1" customWidth="1"/>
    <col min="8447" max="8448" width="11.54296875" style="319"/>
    <col min="8449" max="8449" width="3.7265625" style="319" customWidth="1"/>
    <col min="8450" max="8450" width="15" style="319" customWidth="1"/>
    <col min="8451" max="8451" width="71.453125" style="319" customWidth="1"/>
    <col min="8452" max="8455" width="0" style="319" hidden="1" customWidth="1"/>
    <col min="8456" max="8456" width="4.26953125" style="319" customWidth="1"/>
    <col min="8457" max="8457" width="12.81640625" style="319" customWidth="1"/>
    <col min="8458" max="8459" width="20.7265625" style="319" customWidth="1"/>
    <col min="8460" max="8677" width="11.54296875" style="319"/>
    <col min="8678" max="8679" width="0" style="319" hidden="1" customWidth="1"/>
    <col min="8680" max="8698" width="11.54296875" style="319"/>
    <col min="8699" max="8702" width="0" style="319" hidden="1" customWidth="1"/>
    <col min="8703" max="8704" width="11.54296875" style="319"/>
    <col min="8705" max="8705" width="3.7265625" style="319" customWidth="1"/>
    <col min="8706" max="8706" width="15" style="319" customWidth="1"/>
    <col min="8707" max="8707" width="71.453125" style="319" customWidth="1"/>
    <col min="8708" max="8711" width="0" style="319" hidden="1" customWidth="1"/>
    <col min="8712" max="8712" width="4.26953125" style="319" customWidth="1"/>
    <col min="8713" max="8713" width="12.81640625" style="319" customWidth="1"/>
    <col min="8714" max="8715" width="20.7265625" style="319" customWidth="1"/>
    <col min="8716" max="8933" width="11.54296875" style="319"/>
    <col min="8934" max="8935" width="0" style="319" hidden="1" customWidth="1"/>
    <col min="8936" max="8954" width="11.54296875" style="319"/>
    <col min="8955" max="8958" width="0" style="319" hidden="1" customWidth="1"/>
    <col min="8959" max="8960" width="11.54296875" style="319"/>
    <col min="8961" max="8961" width="3.7265625" style="319" customWidth="1"/>
    <col min="8962" max="8962" width="15" style="319" customWidth="1"/>
    <col min="8963" max="8963" width="71.453125" style="319" customWidth="1"/>
    <col min="8964" max="8967" width="0" style="319" hidden="1" customWidth="1"/>
    <col min="8968" max="8968" width="4.26953125" style="319" customWidth="1"/>
    <col min="8969" max="8969" width="12.81640625" style="319" customWidth="1"/>
    <col min="8970" max="8971" width="20.7265625" style="319" customWidth="1"/>
    <col min="8972" max="9189" width="11.54296875" style="319"/>
    <col min="9190" max="9191" width="0" style="319" hidden="1" customWidth="1"/>
    <col min="9192" max="9210" width="11.54296875" style="319"/>
    <col min="9211" max="9214" width="0" style="319" hidden="1" customWidth="1"/>
    <col min="9215" max="9216" width="11.54296875" style="319"/>
    <col min="9217" max="9217" width="3.7265625" style="319" customWidth="1"/>
    <col min="9218" max="9218" width="15" style="319" customWidth="1"/>
    <col min="9219" max="9219" width="71.453125" style="319" customWidth="1"/>
    <col min="9220" max="9223" width="0" style="319" hidden="1" customWidth="1"/>
    <col min="9224" max="9224" width="4.26953125" style="319" customWidth="1"/>
    <col min="9225" max="9225" width="12.81640625" style="319" customWidth="1"/>
    <col min="9226" max="9227" width="20.7265625" style="319" customWidth="1"/>
    <col min="9228" max="9445" width="11.54296875" style="319"/>
    <col min="9446" max="9447" width="0" style="319" hidden="1" customWidth="1"/>
    <col min="9448" max="9466" width="11.54296875" style="319"/>
    <col min="9467" max="9470" width="0" style="319" hidden="1" customWidth="1"/>
    <col min="9471" max="9472" width="11.54296875" style="319"/>
    <col min="9473" max="9473" width="3.7265625" style="319" customWidth="1"/>
    <col min="9474" max="9474" width="15" style="319" customWidth="1"/>
    <col min="9475" max="9475" width="71.453125" style="319" customWidth="1"/>
    <col min="9476" max="9479" width="0" style="319" hidden="1" customWidth="1"/>
    <col min="9480" max="9480" width="4.26953125" style="319" customWidth="1"/>
    <col min="9481" max="9481" width="12.81640625" style="319" customWidth="1"/>
    <col min="9482" max="9483" width="20.7265625" style="319" customWidth="1"/>
    <col min="9484" max="9701" width="11.54296875" style="319"/>
    <col min="9702" max="9703" width="0" style="319" hidden="1" customWidth="1"/>
    <col min="9704" max="9722" width="11.54296875" style="319"/>
    <col min="9723" max="9726" width="0" style="319" hidden="1" customWidth="1"/>
    <col min="9727" max="9728" width="11.54296875" style="319"/>
    <col min="9729" max="9729" width="3.7265625" style="319" customWidth="1"/>
    <col min="9730" max="9730" width="15" style="319" customWidth="1"/>
    <col min="9731" max="9731" width="71.453125" style="319" customWidth="1"/>
    <col min="9732" max="9735" width="0" style="319" hidden="1" customWidth="1"/>
    <col min="9736" max="9736" width="4.26953125" style="319" customWidth="1"/>
    <col min="9737" max="9737" width="12.81640625" style="319" customWidth="1"/>
    <col min="9738" max="9739" width="20.7265625" style="319" customWidth="1"/>
    <col min="9740" max="9957" width="11.54296875" style="319"/>
    <col min="9958" max="9959" width="0" style="319" hidden="1" customWidth="1"/>
    <col min="9960" max="9978" width="11.54296875" style="319"/>
    <col min="9979" max="9982" width="0" style="319" hidden="1" customWidth="1"/>
    <col min="9983" max="9984" width="11.54296875" style="319"/>
    <col min="9985" max="9985" width="3.7265625" style="319" customWidth="1"/>
    <col min="9986" max="9986" width="15" style="319" customWidth="1"/>
    <col min="9987" max="9987" width="71.453125" style="319" customWidth="1"/>
    <col min="9988" max="9991" width="0" style="319" hidden="1" customWidth="1"/>
    <col min="9992" max="9992" width="4.26953125" style="319" customWidth="1"/>
    <col min="9993" max="9993" width="12.81640625" style="319" customWidth="1"/>
    <col min="9994" max="9995" width="20.7265625" style="319" customWidth="1"/>
    <col min="9996" max="10213" width="11.54296875" style="319"/>
    <col min="10214" max="10215" width="0" style="319" hidden="1" customWidth="1"/>
    <col min="10216" max="10234" width="11.54296875" style="319"/>
    <col min="10235" max="10238" width="0" style="319" hidden="1" customWidth="1"/>
    <col min="10239" max="10240" width="11.54296875" style="319"/>
    <col min="10241" max="10241" width="3.7265625" style="319" customWidth="1"/>
    <col min="10242" max="10242" width="15" style="319" customWidth="1"/>
    <col min="10243" max="10243" width="71.453125" style="319" customWidth="1"/>
    <col min="10244" max="10247" width="0" style="319" hidden="1" customWidth="1"/>
    <col min="10248" max="10248" width="4.26953125" style="319" customWidth="1"/>
    <col min="10249" max="10249" width="12.81640625" style="319" customWidth="1"/>
    <col min="10250" max="10251" width="20.7265625" style="319" customWidth="1"/>
    <col min="10252" max="10469" width="11.54296875" style="319"/>
    <col min="10470" max="10471" width="0" style="319" hidden="1" customWidth="1"/>
    <col min="10472" max="10490" width="11.54296875" style="319"/>
    <col min="10491" max="10494" width="0" style="319" hidden="1" customWidth="1"/>
    <col min="10495" max="10496" width="11.54296875" style="319"/>
    <col min="10497" max="10497" width="3.7265625" style="319" customWidth="1"/>
    <col min="10498" max="10498" width="15" style="319" customWidth="1"/>
    <col min="10499" max="10499" width="71.453125" style="319" customWidth="1"/>
    <col min="10500" max="10503" width="0" style="319" hidden="1" customWidth="1"/>
    <col min="10504" max="10504" width="4.26953125" style="319" customWidth="1"/>
    <col min="10505" max="10505" width="12.81640625" style="319" customWidth="1"/>
    <col min="10506" max="10507" width="20.7265625" style="319" customWidth="1"/>
    <col min="10508" max="10725" width="11.54296875" style="319"/>
    <col min="10726" max="10727" width="0" style="319" hidden="1" customWidth="1"/>
    <col min="10728" max="10746" width="11.54296875" style="319"/>
    <col min="10747" max="10750" width="0" style="319" hidden="1" customWidth="1"/>
    <col min="10751" max="10752" width="11.54296875" style="319"/>
    <col min="10753" max="10753" width="3.7265625" style="319" customWidth="1"/>
    <col min="10754" max="10754" width="15" style="319" customWidth="1"/>
    <col min="10755" max="10755" width="71.453125" style="319" customWidth="1"/>
    <col min="10756" max="10759" width="0" style="319" hidden="1" customWidth="1"/>
    <col min="10760" max="10760" width="4.26953125" style="319" customWidth="1"/>
    <col min="10761" max="10761" width="12.81640625" style="319" customWidth="1"/>
    <col min="10762" max="10763" width="20.7265625" style="319" customWidth="1"/>
    <col min="10764" max="10981" width="11.54296875" style="319"/>
    <col min="10982" max="10983" width="0" style="319" hidden="1" customWidth="1"/>
    <col min="10984" max="11002" width="11.54296875" style="319"/>
    <col min="11003" max="11006" width="0" style="319" hidden="1" customWidth="1"/>
    <col min="11007" max="11008" width="11.54296875" style="319"/>
    <col min="11009" max="11009" width="3.7265625" style="319" customWidth="1"/>
    <col min="11010" max="11010" width="15" style="319" customWidth="1"/>
    <col min="11011" max="11011" width="71.453125" style="319" customWidth="1"/>
    <col min="11012" max="11015" width="0" style="319" hidden="1" customWidth="1"/>
    <col min="11016" max="11016" width="4.26953125" style="319" customWidth="1"/>
    <col min="11017" max="11017" width="12.81640625" style="319" customWidth="1"/>
    <col min="11018" max="11019" width="20.7265625" style="319" customWidth="1"/>
    <col min="11020" max="11237" width="11.54296875" style="319"/>
    <col min="11238" max="11239" width="0" style="319" hidden="1" customWidth="1"/>
    <col min="11240" max="11258" width="11.54296875" style="319"/>
    <col min="11259" max="11262" width="0" style="319" hidden="1" customWidth="1"/>
    <col min="11263" max="11264" width="11.54296875" style="319"/>
    <col min="11265" max="11265" width="3.7265625" style="319" customWidth="1"/>
    <col min="11266" max="11266" width="15" style="319" customWidth="1"/>
    <col min="11267" max="11267" width="71.453125" style="319" customWidth="1"/>
    <col min="11268" max="11271" width="0" style="319" hidden="1" customWidth="1"/>
    <col min="11272" max="11272" width="4.26953125" style="319" customWidth="1"/>
    <col min="11273" max="11273" width="12.81640625" style="319" customWidth="1"/>
    <col min="11274" max="11275" width="20.7265625" style="319" customWidth="1"/>
    <col min="11276" max="11493" width="11.54296875" style="319"/>
    <col min="11494" max="11495" width="0" style="319" hidden="1" customWidth="1"/>
    <col min="11496" max="11514" width="11.54296875" style="319"/>
    <col min="11515" max="11518" width="0" style="319" hidden="1" customWidth="1"/>
    <col min="11519" max="11520" width="11.54296875" style="319"/>
    <col min="11521" max="11521" width="3.7265625" style="319" customWidth="1"/>
    <col min="11522" max="11522" width="15" style="319" customWidth="1"/>
    <col min="11523" max="11523" width="71.453125" style="319" customWidth="1"/>
    <col min="11524" max="11527" width="0" style="319" hidden="1" customWidth="1"/>
    <col min="11528" max="11528" width="4.26953125" style="319" customWidth="1"/>
    <col min="11529" max="11529" width="12.81640625" style="319" customWidth="1"/>
    <col min="11530" max="11531" width="20.7265625" style="319" customWidth="1"/>
    <col min="11532" max="11749" width="11.54296875" style="319"/>
    <col min="11750" max="11751" width="0" style="319" hidden="1" customWidth="1"/>
    <col min="11752" max="11770" width="11.54296875" style="319"/>
    <col min="11771" max="11774" width="0" style="319" hidden="1" customWidth="1"/>
    <col min="11775" max="11776" width="11.54296875" style="319"/>
    <col min="11777" max="11777" width="3.7265625" style="319" customWidth="1"/>
    <col min="11778" max="11778" width="15" style="319" customWidth="1"/>
    <col min="11779" max="11779" width="71.453125" style="319" customWidth="1"/>
    <col min="11780" max="11783" width="0" style="319" hidden="1" customWidth="1"/>
    <col min="11784" max="11784" width="4.26953125" style="319" customWidth="1"/>
    <col min="11785" max="11785" width="12.81640625" style="319" customWidth="1"/>
    <col min="11786" max="11787" width="20.7265625" style="319" customWidth="1"/>
    <col min="11788" max="12005" width="11.54296875" style="319"/>
    <col min="12006" max="12007" width="0" style="319" hidden="1" customWidth="1"/>
    <col min="12008" max="12026" width="11.54296875" style="319"/>
    <col min="12027" max="12030" width="0" style="319" hidden="1" customWidth="1"/>
    <col min="12031" max="12032" width="11.54296875" style="319"/>
    <col min="12033" max="12033" width="3.7265625" style="319" customWidth="1"/>
    <col min="12034" max="12034" width="15" style="319" customWidth="1"/>
    <col min="12035" max="12035" width="71.453125" style="319" customWidth="1"/>
    <col min="12036" max="12039" width="0" style="319" hidden="1" customWidth="1"/>
    <col min="12040" max="12040" width="4.26953125" style="319" customWidth="1"/>
    <col min="12041" max="12041" width="12.81640625" style="319" customWidth="1"/>
    <col min="12042" max="12043" width="20.7265625" style="319" customWidth="1"/>
    <col min="12044" max="12261" width="11.54296875" style="319"/>
    <col min="12262" max="12263" width="0" style="319" hidden="1" customWidth="1"/>
    <col min="12264" max="12282" width="11.54296875" style="319"/>
    <col min="12283" max="12286" width="0" style="319" hidden="1" customWidth="1"/>
    <col min="12287" max="12288" width="11.54296875" style="319"/>
    <col min="12289" max="12289" width="3.7265625" style="319" customWidth="1"/>
    <col min="12290" max="12290" width="15" style="319" customWidth="1"/>
    <col min="12291" max="12291" width="71.453125" style="319" customWidth="1"/>
    <col min="12292" max="12295" width="0" style="319" hidden="1" customWidth="1"/>
    <col min="12296" max="12296" width="4.26953125" style="319" customWidth="1"/>
    <col min="12297" max="12297" width="12.81640625" style="319" customWidth="1"/>
    <col min="12298" max="12299" width="20.7265625" style="319" customWidth="1"/>
    <col min="12300" max="12517" width="11.54296875" style="319"/>
    <col min="12518" max="12519" width="0" style="319" hidden="1" customWidth="1"/>
    <col min="12520" max="12538" width="11.54296875" style="319"/>
    <col min="12539" max="12542" width="0" style="319" hidden="1" customWidth="1"/>
    <col min="12543" max="12544" width="11.54296875" style="319"/>
    <col min="12545" max="12545" width="3.7265625" style="319" customWidth="1"/>
    <col min="12546" max="12546" width="15" style="319" customWidth="1"/>
    <col min="12547" max="12547" width="71.453125" style="319" customWidth="1"/>
    <col min="12548" max="12551" width="0" style="319" hidden="1" customWidth="1"/>
    <col min="12552" max="12552" width="4.26953125" style="319" customWidth="1"/>
    <col min="12553" max="12553" width="12.81640625" style="319" customWidth="1"/>
    <col min="12554" max="12555" width="20.7265625" style="319" customWidth="1"/>
    <col min="12556" max="12773" width="11.54296875" style="319"/>
    <col min="12774" max="12775" width="0" style="319" hidden="1" customWidth="1"/>
    <col min="12776" max="12794" width="11.54296875" style="319"/>
    <col min="12795" max="12798" width="0" style="319" hidden="1" customWidth="1"/>
    <col min="12799" max="12800" width="11.54296875" style="319"/>
    <col min="12801" max="12801" width="3.7265625" style="319" customWidth="1"/>
    <col min="12802" max="12802" width="15" style="319" customWidth="1"/>
    <col min="12803" max="12803" width="71.453125" style="319" customWidth="1"/>
    <col min="12804" max="12807" width="0" style="319" hidden="1" customWidth="1"/>
    <col min="12808" max="12808" width="4.26953125" style="319" customWidth="1"/>
    <col min="12809" max="12809" width="12.81640625" style="319" customWidth="1"/>
    <col min="12810" max="12811" width="20.7265625" style="319" customWidth="1"/>
    <col min="12812" max="13029" width="11.54296875" style="319"/>
    <col min="13030" max="13031" width="0" style="319" hidden="1" customWidth="1"/>
    <col min="13032" max="13050" width="11.54296875" style="319"/>
    <col min="13051" max="13054" width="0" style="319" hidden="1" customWidth="1"/>
    <col min="13055" max="13056" width="11.54296875" style="319"/>
    <col min="13057" max="13057" width="3.7265625" style="319" customWidth="1"/>
    <col min="13058" max="13058" width="15" style="319" customWidth="1"/>
    <col min="13059" max="13059" width="71.453125" style="319" customWidth="1"/>
    <col min="13060" max="13063" width="0" style="319" hidden="1" customWidth="1"/>
    <col min="13064" max="13064" width="4.26953125" style="319" customWidth="1"/>
    <col min="13065" max="13065" width="12.81640625" style="319" customWidth="1"/>
    <col min="13066" max="13067" width="20.7265625" style="319" customWidth="1"/>
    <col min="13068" max="13285" width="11.54296875" style="319"/>
    <col min="13286" max="13287" width="0" style="319" hidden="1" customWidth="1"/>
    <col min="13288" max="13306" width="11.54296875" style="319"/>
    <col min="13307" max="13310" width="0" style="319" hidden="1" customWidth="1"/>
    <col min="13311" max="13312" width="11.54296875" style="319"/>
    <col min="13313" max="13313" width="3.7265625" style="319" customWidth="1"/>
    <col min="13314" max="13314" width="15" style="319" customWidth="1"/>
    <col min="13315" max="13315" width="71.453125" style="319" customWidth="1"/>
    <col min="13316" max="13319" width="0" style="319" hidden="1" customWidth="1"/>
    <col min="13320" max="13320" width="4.26953125" style="319" customWidth="1"/>
    <col min="13321" max="13321" width="12.81640625" style="319" customWidth="1"/>
    <col min="13322" max="13323" width="20.7265625" style="319" customWidth="1"/>
    <col min="13324" max="13541" width="11.54296875" style="319"/>
    <col min="13542" max="13543" width="0" style="319" hidden="1" customWidth="1"/>
    <col min="13544" max="13562" width="11.54296875" style="319"/>
    <col min="13563" max="13566" width="0" style="319" hidden="1" customWidth="1"/>
    <col min="13567" max="13568" width="11.54296875" style="319"/>
    <col min="13569" max="13569" width="3.7265625" style="319" customWidth="1"/>
    <col min="13570" max="13570" width="15" style="319" customWidth="1"/>
    <col min="13571" max="13571" width="71.453125" style="319" customWidth="1"/>
    <col min="13572" max="13575" width="0" style="319" hidden="1" customWidth="1"/>
    <col min="13576" max="13576" width="4.26953125" style="319" customWidth="1"/>
    <col min="13577" max="13577" width="12.81640625" style="319" customWidth="1"/>
    <col min="13578" max="13579" width="20.7265625" style="319" customWidth="1"/>
    <col min="13580" max="13797" width="11.54296875" style="319"/>
    <col min="13798" max="13799" width="0" style="319" hidden="1" customWidth="1"/>
    <col min="13800" max="13818" width="11.54296875" style="319"/>
    <col min="13819" max="13822" width="0" style="319" hidden="1" customWidth="1"/>
    <col min="13823" max="13824" width="11.54296875" style="319"/>
    <col min="13825" max="13825" width="3.7265625" style="319" customWidth="1"/>
    <col min="13826" max="13826" width="15" style="319" customWidth="1"/>
    <col min="13827" max="13827" width="71.453125" style="319" customWidth="1"/>
    <col min="13828" max="13831" width="0" style="319" hidden="1" customWidth="1"/>
    <col min="13832" max="13832" width="4.26953125" style="319" customWidth="1"/>
    <col min="13833" max="13833" width="12.81640625" style="319" customWidth="1"/>
    <col min="13834" max="13835" width="20.7265625" style="319" customWidth="1"/>
    <col min="13836" max="14053" width="11.54296875" style="319"/>
    <col min="14054" max="14055" width="0" style="319" hidden="1" customWidth="1"/>
    <col min="14056" max="14074" width="11.54296875" style="319"/>
    <col min="14075" max="14078" width="0" style="319" hidden="1" customWidth="1"/>
    <col min="14079" max="14080" width="11.54296875" style="319"/>
    <col min="14081" max="14081" width="3.7265625" style="319" customWidth="1"/>
    <col min="14082" max="14082" width="15" style="319" customWidth="1"/>
    <col min="14083" max="14083" width="71.453125" style="319" customWidth="1"/>
    <col min="14084" max="14087" width="0" style="319" hidden="1" customWidth="1"/>
    <col min="14088" max="14088" width="4.26953125" style="319" customWidth="1"/>
    <col min="14089" max="14089" width="12.81640625" style="319" customWidth="1"/>
    <col min="14090" max="14091" width="20.7265625" style="319" customWidth="1"/>
    <col min="14092" max="14309" width="11.54296875" style="319"/>
    <col min="14310" max="14311" width="0" style="319" hidden="1" customWidth="1"/>
    <col min="14312" max="14330" width="11.54296875" style="319"/>
    <col min="14331" max="14334" width="0" style="319" hidden="1" customWidth="1"/>
    <col min="14335" max="14336" width="11.54296875" style="319"/>
    <col min="14337" max="14337" width="3.7265625" style="319" customWidth="1"/>
    <col min="14338" max="14338" width="15" style="319" customWidth="1"/>
    <col min="14339" max="14339" width="71.453125" style="319" customWidth="1"/>
    <col min="14340" max="14343" width="0" style="319" hidden="1" customWidth="1"/>
    <col min="14344" max="14344" width="4.26953125" style="319" customWidth="1"/>
    <col min="14345" max="14345" width="12.81640625" style="319" customWidth="1"/>
    <col min="14346" max="14347" width="20.7265625" style="319" customWidth="1"/>
    <col min="14348" max="14565" width="11.54296875" style="319"/>
    <col min="14566" max="14567" width="0" style="319" hidden="1" customWidth="1"/>
    <col min="14568" max="14586" width="11.54296875" style="319"/>
    <col min="14587" max="14590" width="0" style="319" hidden="1" customWidth="1"/>
    <col min="14591" max="14592" width="11.54296875" style="319"/>
    <col min="14593" max="14593" width="3.7265625" style="319" customWidth="1"/>
    <col min="14594" max="14594" width="15" style="319" customWidth="1"/>
    <col min="14595" max="14595" width="71.453125" style="319" customWidth="1"/>
    <col min="14596" max="14599" width="0" style="319" hidden="1" customWidth="1"/>
    <col min="14600" max="14600" width="4.26953125" style="319" customWidth="1"/>
    <col min="14601" max="14601" width="12.81640625" style="319" customWidth="1"/>
    <col min="14602" max="14603" width="20.7265625" style="319" customWidth="1"/>
    <col min="14604" max="14821" width="11.54296875" style="319"/>
    <col min="14822" max="14823" width="0" style="319" hidden="1" customWidth="1"/>
    <col min="14824" max="14842" width="11.54296875" style="319"/>
    <col min="14843" max="14846" width="0" style="319" hidden="1" customWidth="1"/>
    <col min="14847" max="14848" width="11.54296875" style="319"/>
    <col min="14849" max="14849" width="3.7265625" style="319" customWidth="1"/>
    <col min="14850" max="14850" width="15" style="319" customWidth="1"/>
    <col min="14851" max="14851" width="71.453125" style="319" customWidth="1"/>
    <col min="14852" max="14855" width="0" style="319" hidden="1" customWidth="1"/>
    <col min="14856" max="14856" width="4.26953125" style="319" customWidth="1"/>
    <col min="14857" max="14857" width="12.81640625" style="319" customWidth="1"/>
    <col min="14858" max="14859" width="20.7265625" style="319" customWidth="1"/>
    <col min="14860" max="15077" width="11.54296875" style="319"/>
    <col min="15078" max="15079" width="0" style="319" hidden="1" customWidth="1"/>
    <col min="15080" max="15098" width="11.54296875" style="319"/>
    <col min="15099" max="15102" width="0" style="319" hidden="1" customWidth="1"/>
    <col min="15103" max="15104" width="11.54296875" style="319"/>
    <col min="15105" max="15105" width="3.7265625" style="319" customWidth="1"/>
    <col min="15106" max="15106" width="15" style="319" customWidth="1"/>
    <col min="15107" max="15107" width="71.453125" style="319" customWidth="1"/>
    <col min="15108" max="15111" width="0" style="319" hidden="1" customWidth="1"/>
    <col min="15112" max="15112" width="4.26953125" style="319" customWidth="1"/>
    <col min="15113" max="15113" width="12.81640625" style="319" customWidth="1"/>
    <col min="15114" max="15115" width="20.7265625" style="319" customWidth="1"/>
    <col min="15116" max="15333" width="11.54296875" style="319"/>
    <col min="15334" max="15335" width="0" style="319" hidden="1" customWidth="1"/>
    <col min="15336" max="15354" width="11.54296875" style="319"/>
    <col min="15355" max="15358" width="0" style="319" hidden="1" customWidth="1"/>
    <col min="15359" max="15360" width="11.54296875" style="319"/>
    <col min="15361" max="15361" width="3.7265625" style="319" customWidth="1"/>
    <col min="15362" max="15362" width="15" style="319" customWidth="1"/>
    <col min="15363" max="15363" width="71.453125" style="319" customWidth="1"/>
    <col min="15364" max="15367" width="0" style="319" hidden="1" customWidth="1"/>
    <col min="15368" max="15368" width="4.26953125" style="319" customWidth="1"/>
    <col min="15369" max="15369" width="12.81640625" style="319" customWidth="1"/>
    <col min="15370" max="15371" width="20.7265625" style="319" customWidth="1"/>
    <col min="15372" max="15589" width="11.54296875" style="319"/>
    <col min="15590" max="15591" width="0" style="319" hidden="1" customWidth="1"/>
    <col min="15592" max="15610" width="11.54296875" style="319"/>
    <col min="15611" max="15614" width="0" style="319" hidden="1" customWidth="1"/>
    <col min="15615" max="15616" width="11.54296875" style="319"/>
    <col min="15617" max="15617" width="3.7265625" style="319" customWidth="1"/>
    <col min="15618" max="15618" width="15" style="319" customWidth="1"/>
    <col min="15619" max="15619" width="71.453125" style="319" customWidth="1"/>
    <col min="15620" max="15623" width="0" style="319" hidden="1" customWidth="1"/>
    <col min="15624" max="15624" width="4.26953125" style="319" customWidth="1"/>
    <col min="15625" max="15625" width="12.81640625" style="319" customWidth="1"/>
    <col min="15626" max="15627" width="20.7265625" style="319" customWidth="1"/>
    <col min="15628" max="15845" width="11.54296875" style="319"/>
    <col min="15846" max="15847" width="0" style="319" hidden="1" customWidth="1"/>
    <col min="15848" max="15866" width="11.54296875" style="319"/>
    <col min="15867" max="15870" width="0" style="319" hidden="1" customWidth="1"/>
    <col min="15871" max="15872" width="11.54296875" style="319"/>
    <col min="15873" max="15873" width="3.7265625" style="319" customWidth="1"/>
    <col min="15874" max="15874" width="15" style="319" customWidth="1"/>
    <col min="15875" max="15875" width="71.453125" style="319" customWidth="1"/>
    <col min="15876" max="15879" width="0" style="319" hidden="1" customWidth="1"/>
    <col min="15880" max="15880" width="4.26953125" style="319" customWidth="1"/>
    <col min="15881" max="15881" width="12.81640625" style="319" customWidth="1"/>
    <col min="15882" max="15883" width="20.7265625" style="319" customWidth="1"/>
    <col min="15884" max="16101" width="11.54296875" style="319"/>
    <col min="16102" max="16103" width="0" style="319" hidden="1" customWidth="1"/>
    <col min="16104" max="16122" width="11.54296875" style="319"/>
    <col min="16123" max="16126" width="0" style="319" hidden="1" customWidth="1"/>
    <col min="16127" max="16128" width="11.54296875" style="319"/>
    <col min="16129" max="16129" width="3.7265625" style="319" customWidth="1"/>
    <col min="16130" max="16130" width="15" style="319" customWidth="1"/>
    <col min="16131" max="16131" width="71.453125" style="319" customWidth="1"/>
    <col min="16132" max="16135" width="0" style="319" hidden="1" customWidth="1"/>
    <col min="16136" max="16136" width="4.26953125" style="319" customWidth="1"/>
    <col min="16137" max="16137" width="12.81640625" style="319" customWidth="1"/>
    <col min="16138" max="16139" width="20.7265625" style="319" customWidth="1"/>
    <col min="16140" max="16357" width="11.54296875" style="319"/>
    <col min="16358" max="16359" width="0" style="319" hidden="1" customWidth="1"/>
    <col min="16360" max="16378" width="11.54296875" style="319"/>
    <col min="16379" max="16382" width="0" style="319" hidden="1" customWidth="1"/>
    <col min="16383" max="16384" width="11.54296875" style="319"/>
  </cols>
  <sheetData>
    <row r="1" spans="1:253" ht="40" customHeight="1" x14ac:dyDescent="0.25">
      <c r="A1" s="507" t="s">
        <v>1216</v>
      </c>
      <c r="B1" s="508"/>
      <c r="C1" s="508"/>
      <c r="D1" s="508"/>
      <c r="E1" s="508"/>
      <c r="F1" s="508"/>
      <c r="G1" s="508"/>
      <c r="H1" s="508"/>
      <c r="I1" s="508"/>
      <c r="J1" s="508"/>
      <c r="K1" s="509"/>
    </row>
    <row r="2" spans="1:253" x14ac:dyDescent="0.25">
      <c r="A2" s="510" t="s">
        <v>965</v>
      </c>
      <c r="B2" s="511"/>
      <c r="C2" s="513" t="s">
        <v>1222</v>
      </c>
      <c r="D2" s="515" t="s">
        <v>1006</v>
      </c>
      <c r="E2" s="511"/>
      <c r="F2" s="516" t="s">
        <v>1016</v>
      </c>
      <c r="G2" s="516" t="s">
        <v>21</v>
      </c>
      <c r="H2" s="516" t="s">
        <v>1223</v>
      </c>
      <c r="I2" s="511"/>
      <c r="J2" s="511"/>
      <c r="K2" s="517"/>
      <c r="L2" s="320"/>
    </row>
    <row r="3" spans="1:253" x14ac:dyDescent="0.25">
      <c r="A3" s="512"/>
      <c r="B3" s="505"/>
      <c r="C3" s="514"/>
      <c r="D3" s="505"/>
      <c r="E3" s="505"/>
      <c r="F3" s="505"/>
      <c r="G3" s="505"/>
      <c r="H3" s="505"/>
      <c r="I3" s="505"/>
      <c r="J3" s="505"/>
      <c r="K3" s="506"/>
      <c r="L3" s="320"/>
    </row>
    <row r="4" spans="1:253" x14ac:dyDescent="0.25">
      <c r="A4" s="518" t="s">
        <v>967</v>
      </c>
      <c r="B4" s="505"/>
      <c r="C4" s="504" t="s">
        <v>1224</v>
      </c>
      <c r="D4" s="519" t="s">
        <v>969</v>
      </c>
      <c r="E4" s="505"/>
      <c r="F4" s="504" t="s">
        <v>1225</v>
      </c>
      <c r="G4" s="504" t="s">
        <v>19</v>
      </c>
      <c r="H4" s="504" t="s">
        <v>1223</v>
      </c>
      <c r="I4" s="505"/>
      <c r="J4" s="505"/>
      <c r="K4" s="506"/>
      <c r="L4" s="320"/>
    </row>
    <row r="5" spans="1:253" x14ac:dyDescent="0.25">
      <c r="A5" s="512"/>
      <c r="B5" s="505"/>
      <c r="C5" s="505"/>
      <c r="D5" s="505"/>
      <c r="E5" s="505"/>
      <c r="F5" s="505"/>
      <c r="G5" s="505"/>
      <c r="H5" s="505"/>
      <c r="I5" s="505"/>
      <c r="J5" s="505"/>
      <c r="K5" s="506"/>
      <c r="L5" s="320"/>
    </row>
    <row r="6" spans="1:253" x14ac:dyDescent="0.25">
      <c r="A6" s="518" t="s">
        <v>968</v>
      </c>
      <c r="B6" s="505"/>
      <c r="C6" s="504" t="s">
        <v>1226</v>
      </c>
      <c r="D6" s="519" t="s">
        <v>970</v>
      </c>
      <c r="E6" s="505"/>
      <c r="F6" s="504" t="s">
        <v>1016</v>
      </c>
      <c r="G6" s="504" t="s">
        <v>18</v>
      </c>
      <c r="H6" s="504" t="s">
        <v>1223</v>
      </c>
      <c r="I6" s="505"/>
      <c r="J6" s="505"/>
      <c r="K6" s="506"/>
      <c r="L6" s="320"/>
    </row>
    <row r="7" spans="1:253" x14ac:dyDescent="0.25">
      <c r="A7" s="512"/>
      <c r="B7" s="505"/>
      <c r="C7" s="505"/>
      <c r="D7" s="505"/>
      <c r="E7" s="505"/>
      <c r="F7" s="505"/>
      <c r="G7" s="505"/>
      <c r="H7" s="505"/>
      <c r="I7" s="505"/>
      <c r="J7" s="505"/>
      <c r="K7" s="506"/>
      <c r="L7" s="320"/>
    </row>
    <row r="8" spans="1:253" x14ac:dyDescent="0.25">
      <c r="A8" s="518" t="s">
        <v>973</v>
      </c>
      <c r="B8" s="505"/>
      <c r="C8" s="504" t="s">
        <v>1016</v>
      </c>
      <c r="D8" s="519" t="s">
        <v>1007</v>
      </c>
      <c r="E8" s="505"/>
      <c r="F8" s="504" t="s">
        <v>1225</v>
      </c>
      <c r="G8" s="504" t="s">
        <v>974</v>
      </c>
      <c r="H8" s="504" t="s">
        <v>1223</v>
      </c>
      <c r="I8" s="505"/>
      <c r="J8" s="505"/>
      <c r="K8" s="506"/>
      <c r="L8" s="320"/>
    </row>
    <row r="9" spans="1:253" x14ac:dyDescent="0.25">
      <c r="A9" s="522"/>
      <c r="B9" s="520"/>
      <c r="C9" s="520"/>
      <c r="D9" s="520"/>
      <c r="E9" s="520"/>
      <c r="F9" s="520"/>
      <c r="G9" s="520"/>
      <c r="H9" s="520"/>
      <c r="I9" s="520"/>
      <c r="J9" s="520"/>
      <c r="K9" s="521"/>
      <c r="L9" s="320"/>
    </row>
    <row r="10" spans="1:253" ht="13.5" thickBot="1" x14ac:dyDescent="0.3">
      <c r="A10" s="322" t="s">
        <v>1008</v>
      </c>
      <c r="B10" s="322" t="s">
        <v>1009</v>
      </c>
      <c r="C10" s="523" t="s">
        <v>1010</v>
      </c>
      <c r="D10" s="523"/>
      <c r="E10" s="523"/>
      <c r="F10" s="523"/>
      <c r="G10" s="523"/>
      <c r="H10" s="322" t="s">
        <v>108</v>
      </c>
      <c r="I10" s="322" t="s">
        <v>1011</v>
      </c>
      <c r="J10" s="322" t="s">
        <v>1012</v>
      </c>
      <c r="K10" s="323" t="s">
        <v>1013</v>
      </c>
      <c r="L10" s="320"/>
      <c r="HV10" s="324" t="s">
        <v>1014</v>
      </c>
      <c r="HW10" s="324" t="s">
        <v>1015</v>
      </c>
    </row>
    <row r="11" spans="1:253" ht="13" x14ac:dyDescent="0.25">
      <c r="A11" s="325" t="s">
        <v>1016</v>
      </c>
      <c r="B11" s="326" t="s">
        <v>1017</v>
      </c>
      <c r="C11" s="524" t="s">
        <v>1018</v>
      </c>
      <c r="D11" s="525"/>
      <c r="E11" s="525"/>
      <c r="F11" s="525"/>
      <c r="G11" s="525"/>
      <c r="H11" s="326" t="s">
        <v>1016</v>
      </c>
      <c r="I11" s="327" t="s">
        <v>1016</v>
      </c>
      <c r="J11" s="327" t="s">
        <v>1016</v>
      </c>
      <c r="K11" s="328">
        <f>SUM(K12:K12)</f>
        <v>0</v>
      </c>
    </row>
    <row r="12" spans="1:253" x14ac:dyDescent="0.25">
      <c r="A12" s="329" t="s">
        <v>52</v>
      </c>
      <c r="B12" s="321" t="s">
        <v>1019</v>
      </c>
      <c r="C12" s="504" t="s">
        <v>1020</v>
      </c>
      <c r="D12" s="505"/>
      <c r="E12" s="505"/>
      <c r="F12" s="505"/>
      <c r="G12" s="505"/>
      <c r="H12" s="321" t="s">
        <v>139</v>
      </c>
      <c r="I12" s="330">
        <v>0.45</v>
      </c>
      <c r="J12" s="331"/>
      <c r="K12" s="332">
        <f>IR12*I12+IS12*I12</f>
        <v>0</v>
      </c>
      <c r="HV12" s="321" t="s">
        <v>1017</v>
      </c>
      <c r="HW12" s="321" t="s">
        <v>1021</v>
      </c>
      <c r="IR12" s="333">
        <f>J12*0.157453053190274</f>
        <v>0</v>
      </c>
      <c r="IS12" s="333">
        <f>J12*(1-0.157453053190274)</f>
        <v>0</v>
      </c>
    </row>
    <row r="13" spans="1:253" ht="13" x14ac:dyDescent="0.25">
      <c r="A13" s="334" t="s">
        <v>1016</v>
      </c>
      <c r="B13" s="335" t="s">
        <v>74</v>
      </c>
      <c r="C13" s="526" t="s">
        <v>75</v>
      </c>
      <c r="D13" s="527"/>
      <c r="E13" s="527"/>
      <c r="F13" s="527"/>
      <c r="G13" s="527"/>
      <c r="H13" s="335" t="s">
        <v>1016</v>
      </c>
      <c r="I13" s="336" t="s">
        <v>1016</v>
      </c>
      <c r="J13" s="336" t="s">
        <v>1016</v>
      </c>
      <c r="K13" s="337">
        <f>SUM(K14:K19)</f>
        <v>0</v>
      </c>
    </row>
    <row r="14" spans="1:253" x14ac:dyDescent="0.25">
      <c r="A14" s="329" t="s">
        <v>177</v>
      </c>
      <c r="B14" s="321" t="s">
        <v>1022</v>
      </c>
      <c r="C14" s="504" t="s">
        <v>1023</v>
      </c>
      <c r="D14" s="505"/>
      <c r="E14" s="505"/>
      <c r="F14" s="505"/>
      <c r="G14" s="505"/>
      <c r="H14" s="321" t="s">
        <v>136</v>
      </c>
      <c r="I14" s="330">
        <v>4</v>
      </c>
      <c r="J14" s="331"/>
      <c r="K14" s="332">
        <f t="shared" ref="K14:K19" si="0">IR14*I14+IS14*I14</f>
        <v>0</v>
      </c>
      <c r="HV14" s="321" t="s">
        <v>74</v>
      </c>
      <c r="HW14" s="321" t="s">
        <v>1021</v>
      </c>
      <c r="IR14" s="333">
        <f>J14*0.300285558443225</f>
        <v>0</v>
      </c>
      <c r="IS14" s="333">
        <f>J14*(1-0.300285558443225)</f>
        <v>0</v>
      </c>
    </row>
    <row r="15" spans="1:253" x14ac:dyDescent="0.25">
      <c r="A15" s="329" t="s">
        <v>54</v>
      </c>
      <c r="B15" s="321" t="s">
        <v>1024</v>
      </c>
      <c r="C15" s="504" t="s">
        <v>1025</v>
      </c>
      <c r="D15" s="505"/>
      <c r="E15" s="505"/>
      <c r="F15" s="505"/>
      <c r="G15" s="505"/>
      <c r="H15" s="321" t="s">
        <v>136</v>
      </c>
      <c r="I15" s="330">
        <v>2</v>
      </c>
      <c r="J15" s="331"/>
      <c r="K15" s="332">
        <f t="shared" si="0"/>
        <v>0</v>
      </c>
      <c r="HV15" s="321" t="s">
        <v>74</v>
      </c>
      <c r="HW15" s="321" t="s">
        <v>1021</v>
      </c>
      <c r="IR15" s="333">
        <f>J15*0.784843367315361</f>
        <v>0</v>
      </c>
      <c r="IS15" s="333">
        <f>J15*(1-0.784843367315361)</f>
        <v>0</v>
      </c>
    </row>
    <row r="16" spans="1:253" x14ac:dyDescent="0.25">
      <c r="A16" s="329" t="s">
        <v>1026</v>
      </c>
      <c r="B16" s="321" t="s">
        <v>1027</v>
      </c>
      <c r="C16" s="504" t="s">
        <v>1028</v>
      </c>
      <c r="D16" s="505"/>
      <c r="E16" s="505"/>
      <c r="F16" s="505"/>
      <c r="G16" s="505"/>
      <c r="H16" s="321" t="s">
        <v>136</v>
      </c>
      <c r="I16" s="330">
        <v>3</v>
      </c>
      <c r="J16" s="331"/>
      <c r="K16" s="332">
        <f t="shared" si="0"/>
        <v>0</v>
      </c>
      <c r="HV16" s="321" t="s">
        <v>74</v>
      </c>
      <c r="HW16" s="321" t="s">
        <v>1021</v>
      </c>
      <c r="IR16" s="333">
        <f>J16*0.806868686868687</f>
        <v>0</v>
      </c>
      <c r="IS16" s="333">
        <f>J16*(1-0.806868686868687)</f>
        <v>0</v>
      </c>
    </row>
    <row r="17" spans="1:253" x14ac:dyDescent="0.25">
      <c r="A17" s="329" t="s">
        <v>1029</v>
      </c>
      <c r="B17" s="321" t="s">
        <v>1030</v>
      </c>
      <c r="C17" s="504" t="s">
        <v>1031</v>
      </c>
      <c r="D17" s="505"/>
      <c r="E17" s="505"/>
      <c r="F17" s="505"/>
      <c r="G17" s="505"/>
      <c r="H17" s="321" t="s">
        <v>203</v>
      </c>
      <c r="I17" s="330">
        <v>76</v>
      </c>
      <c r="J17" s="331"/>
      <c r="K17" s="332">
        <f t="shared" si="0"/>
        <v>0</v>
      </c>
      <c r="HV17" s="321" t="s">
        <v>74</v>
      </c>
      <c r="HW17" s="321" t="s">
        <v>1021</v>
      </c>
      <c r="IR17" s="333">
        <f>J17*0.281555834378921</f>
        <v>0</v>
      </c>
      <c r="IS17" s="333">
        <f>J17*(1-0.281555834378921)</f>
        <v>0</v>
      </c>
    </row>
    <row r="18" spans="1:253" x14ac:dyDescent="0.25">
      <c r="A18" s="329" t="s">
        <v>1032</v>
      </c>
      <c r="B18" s="321" t="s">
        <v>1033</v>
      </c>
      <c r="C18" s="504" t="s">
        <v>1034</v>
      </c>
      <c r="D18" s="505"/>
      <c r="E18" s="505"/>
      <c r="F18" s="505"/>
      <c r="G18" s="505"/>
      <c r="H18" s="321" t="s">
        <v>203</v>
      </c>
      <c r="I18" s="330">
        <v>14</v>
      </c>
      <c r="J18" s="331"/>
      <c r="K18" s="332">
        <f t="shared" si="0"/>
        <v>0</v>
      </c>
      <c r="L18" s="320"/>
      <c r="HV18" s="321" t="s">
        <v>74</v>
      </c>
      <c r="HW18" s="321" t="s">
        <v>1021</v>
      </c>
      <c r="IR18" s="333">
        <f>J18*0.296805896805897</f>
        <v>0</v>
      </c>
      <c r="IS18" s="333">
        <f>J18*(1-0.296805896805897)</f>
        <v>0</v>
      </c>
    </row>
    <row r="19" spans="1:253" x14ac:dyDescent="0.25">
      <c r="A19" s="329" t="s">
        <v>1035</v>
      </c>
      <c r="B19" s="321" t="s">
        <v>336</v>
      </c>
      <c r="C19" s="504" t="s">
        <v>337</v>
      </c>
      <c r="D19" s="505"/>
      <c r="E19" s="505"/>
      <c r="F19" s="505"/>
      <c r="G19" s="505"/>
      <c r="H19" s="321" t="s">
        <v>154</v>
      </c>
      <c r="I19" s="330">
        <v>3.1199999999999999E-3</v>
      </c>
      <c r="J19" s="331"/>
      <c r="K19" s="332">
        <f t="shared" si="0"/>
        <v>0</v>
      </c>
      <c r="L19" s="320"/>
      <c r="HV19" s="321" t="s">
        <v>74</v>
      </c>
      <c r="HW19" s="321" t="s">
        <v>1021</v>
      </c>
      <c r="IR19" s="333">
        <f>J19*0</f>
        <v>0</v>
      </c>
      <c r="IS19" s="333">
        <f>J19*(1-0)</f>
        <v>0</v>
      </c>
    </row>
    <row r="20" spans="1:253" ht="13" x14ac:dyDescent="0.25">
      <c r="A20" s="334" t="s">
        <v>1016</v>
      </c>
      <c r="B20" s="335" t="s">
        <v>1036</v>
      </c>
      <c r="C20" s="526" t="s">
        <v>1037</v>
      </c>
      <c r="D20" s="527"/>
      <c r="E20" s="527"/>
      <c r="F20" s="527"/>
      <c r="G20" s="527"/>
      <c r="H20" s="335" t="s">
        <v>1016</v>
      </c>
      <c r="I20" s="336" t="s">
        <v>1016</v>
      </c>
      <c r="J20" s="336" t="s">
        <v>1016</v>
      </c>
      <c r="K20" s="337">
        <f>SUM(K21:K37)</f>
        <v>0</v>
      </c>
      <c r="L20" s="320"/>
    </row>
    <row r="21" spans="1:253" x14ac:dyDescent="0.25">
      <c r="A21" s="329" t="s">
        <v>1038</v>
      </c>
      <c r="B21" s="321" t="s">
        <v>1039</v>
      </c>
      <c r="C21" s="504" t="s">
        <v>1040</v>
      </c>
      <c r="D21" s="505"/>
      <c r="E21" s="505"/>
      <c r="F21" s="505"/>
      <c r="G21" s="505"/>
      <c r="H21" s="321" t="s">
        <v>136</v>
      </c>
      <c r="I21" s="330">
        <v>5</v>
      </c>
      <c r="J21" s="331"/>
      <c r="K21" s="332">
        <f t="shared" ref="K21:K37" si="1">IR21*I21+IS21*I21</f>
        <v>0</v>
      </c>
      <c r="L21" s="320"/>
      <c r="HV21" s="321" t="s">
        <v>1036</v>
      </c>
      <c r="HW21" s="321" t="s">
        <v>1021</v>
      </c>
      <c r="IR21" s="333">
        <f>J21*0.343541421279937</f>
        <v>0</v>
      </c>
      <c r="IS21" s="333">
        <f>J21*(1-0.343541421279937)</f>
        <v>0</v>
      </c>
    </row>
    <row r="22" spans="1:253" x14ac:dyDescent="0.25">
      <c r="A22" s="329" t="s">
        <v>359</v>
      </c>
      <c r="B22" s="321" t="s">
        <v>1041</v>
      </c>
      <c r="C22" s="504" t="s">
        <v>1042</v>
      </c>
      <c r="D22" s="505"/>
      <c r="E22" s="505"/>
      <c r="F22" s="505"/>
      <c r="G22" s="505"/>
      <c r="H22" s="321" t="s">
        <v>203</v>
      </c>
      <c r="I22" s="330">
        <v>25</v>
      </c>
      <c r="J22" s="331"/>
      <c r="K22" s="332">
        <f t="shared" si="1"/>
        <v>0</v>
      </c>
      <c r="L22" s="320"/>
      <c r="HV22" s="321" t="s">
        <v>1036</v>
      </c>
      <c r="HW22" s="321" t="s">
        <v>1021</v>
      </c>
      <c r="IR22" s="333">
        <f>J22*0</f>
        <v>0</v>
      </c>
      <c r="IS22" s="333">
        <f>J22*(1-0)</f>
        <v>0</v>
      </c>
    </row>
    <row r="23" spans="1:253" x14ac:dyDescent="0.25">
      <c r="A23" s="329" t="s">
        <v>1043</v>
      </c>
      <c r="B23" s="321" t="s">
        <v>1044</v>
      </c>
      <c r="C23" s="504" t="s">
        <v>1045</v>
      </c>
      <c r="D23" s="505"/>
      <c r="E23" s="505"/>
      <c r="F23" s="505"/>
      <c r="G23" s="505"/>
      <c r="H23" s="321" t="s">
        <v>136</v>
      </c>
      <c r="I23" s="330">
        <v>5</v>
      </c>
      <c r="J23" s="331"/>
      <c r="K23" s="332">
        <f t="shared" si="1"/>
        <v>0</v>
      </c>
      <c r="L23" s="320"/>
      <c r="HV23" s="321" t="s">
        <v>1036</v>
      </c>
      <c r="HW23" s="321" t="s">
        <v>1021</v>
      </c>
      <c r="IR23" s="333">
        <f>J23*0.287758112094395</f>
        <v>0</v>
      </c>
      <c r="IS23" s="333">
        <f>J23*(1-0.287758112094395)</f>
        <v>0</v>
      </c>
    </row>
    <row r="24" spans="1:253" x14ac:dyDescent="0.25">
      <c r="A24" s="329" t="s">
        <v>201</v>
      </c>
      <c r="B24" s="321" t="s">
        <v>1046</v>
      </c>
      <c r="C24" s="504" t="s">
        <v>1047</v>
      </c>
      <c r="D24" s="505"/>
      <c r="E24" s="505"/>
      <c r="F24" s="505"/>
      <c r="G24" s="505"/>
      <c r="H24" s="321" t="s">
        <v>136</v>
      </c>
      <c r="I24" s="330">
        <v>5</v>
      </c>
      <c r="J24" s="331"/>
      <c r="K24" s="332">
        <f t="shared" si="1"/>
        <v>0</v>
      </c>
      <c r="L24" s="320"/>
      <c r="HV24" s="321" t="s">
        <v>1036</v>
      </c>
      <c r="HW24" s="321" t="s">
        <v>1021</v>
      </c>
      <c r="IR24" s="333">
        <f>J24*0</f>
        <v>0</v>
      </c>
      <c r="IS24" s="333">
        <f>J24*(1-0)</f>
        <v>0</v>
      </c>
    </row>
    <row r="25" spans="1:253" x14ac:dyDescent="0.25">
      <c r="A25" s="329" t="s">
        <v>1048</v>
      </c>
      <c r="B25" s="321" t="s">
        <v>1049</v>
      </c>
      <c r="C25" s="504" t="s">
        <v>1050</v>
      </c>
      <c r="D25" s="505"/>
      <c r="E25" s="505"/>
      <c r="F25" s="505"/>
      <c r="G25" s="505"/>
      <c r="H25" s="321" t="s">
        <v>136</v>
      </c>
      <c r="I25" s="330">
        <v>5</v>
      </c>
      <c r="J25" s="331"/>
      <c r="K25" s="332">
        <f t="shared" si="1"/>
        <v>0</v>
      </c>
      <c r="L25" s="320"/>
      <c r="HV25" s="321" t="s">
        <v>1036</v>
      </c>
      <c r="HW25" s="321" t="s">
        <v>1021</v>
      </c>
      <c r="IR25" s="333">
        <f>J25*0.803647604327666</f>
        <v>0</v>
      </c>
      <c r="IS25" s="333">
        <f>J25*(1-0.803647604327666)</f>
        <v>0</v>
      </c>
    </row>
    <row r="26" spans="1:253" x14ac:dyDescent="0.25">
      <c r="A26" s="329" t="s">
        <v>1051</v>
      </c>
      <c r="B26" s="321" t="s">
        <v>1052</v>
      </c>
      <c r="C26" s="504" t="s">
        <v>1053</v>
      </c>
      <c r="D26" s="505"/>
      <c r="E26" s="505"/>
      <c r="F26" s="505"/>
      <c r="G26" s="505"/>
      <c r="H26" s="321" t="s">
        <v>203</v>
      </c>
      <c r="I26" s="330">
        <v>8</v>
      </c>
      <c r="J26" s="331"/>
      <c r="K26" s="332">
        <f t="shared" si="1"/>
        <v>0</v>
      </c>
      <c r="L26" s="320"/>
      <c r="HV26" s="321" t="s">
        <v>1036</v>
      </c>
      <c r="HW26" s="321" t="s">
        <v>1021</v>
      </c>
      <c r="IR26" s="333">
        <f>J26*0.342869198312236</f>
        <v>0</v>
      </c>
      <c r="IS26" s="333">
        <f>J26*(1-0.342869198312236)</f>
        <v>0</v>
      </c>
    </row>
    <row r="27" spans="1:253" x14ac:dyDescent="0.25">
      <c r="A27" s="329" t="s">
        <v>1054</v>
      </c>
      <c r="B27" s="321" t="s">
        <v>1055</v>
      </c>
      <c r="C27" s="504" t="s">
        <v>1056</v>
      </c>
      <c r="D27" s="505"/>
      <c r="E27" s="505"/>
      <c r="F27" s="505"/>
      <c r="G27" s="505"/>
      <c r="H27" s="321" t="s">
        <v>203</v>
      </c>
      <c r="I27" s="330">
        <v>9</v>
      </c>
      <c r="J27" s="331"/>
      <c r="K27" s="332">
        <f t="shared" si="1"/>
        <v>0</v>
      </c>
      <c r="L27" s="320"/>
      <c r="HV27" s="321" t="s">
        <v>1036</v>
      </c>
      <c r="HW27" s="321" t="s">
        <v>1021</v>
      </c>
      <c r="IR27" s="333">
        <f>J27*0.330587378826775</f>
        <v>0</v>
      </c>
      <c r="IS27" s="333">
        <f>J27*(1-0.330587378826775)</f>
        <v>0</v>
      </c>
    </row>
    <row r="28" spans="1:253" x14ac:dyDescent="0.25">
      <c r="A28" s="329" t="s">
        <v>204</v>
      </c>
      <c r="B28" s="321" t="s">
        <v>1057</v>
      </c>
      <c r="C28" s="504" t="s">
        <v>1058</v>
      </c>
      <c r="D28" s="505"/>
      <c r="E28" s="505"/>
      <c r="F28" s="505"/>
      <c r="G28" s="505"/>
      <c r="H28" s="321" t="s">
        <v>203</v>
      </c>
      <c r="I28" s="330">
        <v>3</v>
      </c>
      <c r="J28" s="331"/>
      <c r="K28" s="332">
        <f t="shared" si="1"/>
        <v>0</v>
      </c>
      <c r="L28" s="320"/>
      <c r="HV28" s="321" t="s">
        <v>1036</v>
      </c>
      <c r="HW28" s="321" t="s">
        <v>1021</v>
      </c>
      <c r="IR28" s="333">
        <f>J28*0.311963855421687</f>
        <v>0</v>
      </c>
      <c r="IS28" s="333">
        <f>J28*(1-0.311963855421687)</f>
        <v>0</v>
      </c>
    </row>
    <row r="29" spans="1:253" x14ac:dyDescent="0.25">
      <c r="A29" s="329" t="s">
        <v>1059</v>
      </c>
      <c r="B29" s="321" t="s">
        <v>1060</v>
      </c>
      <c r="C29" s="504" t="s">
        <v>1061</v>
      </c>
      <c r="D29" s="505"/>
      <c r="E29" s="505"/>
      <c r="F29" s="505"/>
      <c r="G29" s="505"/>
      <c r="H29" s="321" t="s">
        <v>203</v>
      </c>
      <c r="I29" s="330">
        <v>18</v>
      </c>
      <c r="J29" s="331"/>
      <c r="K29" s="332">
        <f t="shared" si="1"/>
        <v>0</v>
      </c>
      <c r="L29" s="320"/>
      <c r="HV29" s="321" t="s">
        <v>1036</v>
      </c>
      <c r="HW29" s="321" t="s">
        <v>1021</v>
      </c>
      <c r="IR29" s="333">
        <f>J29*0.407782874617737</f>
        <v>0</v>
      </c>
      <c r="IS29" s="333">
        <f>J29*(1-0.407782874617737)</f>
        <v>0</v>
      </c>
    </row>
    <row r="30" spans="1:253" x14ac:dyDescent="0.25">
      <c r="A30" s="329" t="s">
        <v>1062</v>
      </c>
      <c r="B30" s="321" t="s">
        <v>1063</v>
      </c>
      <c r="C30" s="504" t="s">
        <v>1064</v>
      </c>
      <c r="D30" s="505"/>
      <c r="E30" s="505"/>
      <c r="F30" s="505"/>
      <c r="G30" s="505"/>
      <c r="H30" s="321" t="s">
        <v>203</v>
      </c>
      <c r="I30" s="330">
        <v>2</v>
      </c>
      <c r="J30" s="331"/>
      <c r="K30" s="332">
        <f t="shared" si="1"/>
        <v>0</v>
      </c>
      <c r="L30" s="320"/>
      <c r="HV30" s="321" t="s">
        <v>1036</v>
      </c>
      <c r="HW30" s="321" t="s">
        <v>1021</v>
      </c>
      <c r="IR30" s="333">
        <f>J30*0.374527938342967</f>
        <v>0</v>
      </c>
      <c r="IS30" s="333">
        <f>J30*(1-0.374527938342967)</f>
        <v>0</v>
      </c>
    </row>
    <row r="31" spans="1:253" x14ac:dyDescent="0.25">
      <c r="A31" s="329" t="s">
        <v>1065</v>
      </c>
      <c r="B31" s="321" t="s">
        <v>1066</v>
      </c>
      <c r="C31" s="504" t="s">
        <v>1067</v>
      </c>
      <c r="D31" s="505"/>
      <c r="E31" s="505"/>
      <c r="F31" s="505"/>
      <c r="G31" s="505"/>
      <c r="H31" s="321" t="s">
        <v>203</v>
      </c>
      <c r="I31" s="330">
        <v>10</v>
      </c>
      <c r="J31" s="331"/>
      <c r="K31" s="332">
        <f t="shared" si="1"/>
        <v>0</v>
      </c>
      <c r="L31" s="320"/>
      <c r="HV31" s="321" t="s">
        <v>1036</v>
      </c>
      <c r="HW31" s="321" t="s">
        <v>1021</v>
      </c>
      <c r="IR31" s="333">
        <f>J31*0.463017156488814</f>
        <v>0</v>
      </c>
      <c r="IS31" s="333">
        <f>J31*(1-0.463017156488814)</f>
        <v>0</v>
      </c>
    </row>
    <row r="32" spans="1:253" x14ac:dyDescent="0.25">
      <c r="A32" s="329" t="s">
        <v>1068</v>
      </c>
      <c r="B32" s="321" t="s">
        <v>1069</v>
      </c>
      <c r="C32" s="504" t="s">
        <v>1070</v>
      </c>
      <c r="D32" s="505"/>
      <c r="E32" s="505"/>
      <c r="F32" s="505"/>
      <c r="G32" s="505"/>
      <c r="H32" s="321" t="s">
        <v>203</v>
      </c>
      <c r="I32" s="330">
        <v>2</v>
      </c>
      <c r="J32" s="331"/>
      <c r="K32" s="332">
        <f t="shared" si="1"/>
        <v>0</v>
      </c>
      <c r="L32" s="320"/>
      <c r="HV32" s="321" t="s">
        <v>1036</v>
      </c>
      <c r="HW32" s="321" t="s">
        <v>1021</v>
      </c>
      <c r="IR32" s="333">
        <f>J32*0.424023668639053</f>
        <v>0</v>
      </c>
      <c r="IS32" s="333">
        <f>J32*(1-0.424023668639053)</f>
        <v>0</v>
      </c>
    </row>
    <row r="33" spans="1:253" x14ac:dyDescent="0.25">
      <c r="A33" s="329" t="s">
        <v>1071</v>
      </c>
      <c r="B33" s="321" t="s">
        <v>1072</v>
      </c>
      <c r="C33" s="504" t="s">
        <v>1073</v>
      </c>
      <c r="D33" s="505"/>
      <c r="E33" s="505"/>
      <c r="F33" s="505"/>
      <c r="G33" s="505"/>
      <c r="H33" s="321" t="s">
        <v>136</v>
      </c>
      <c r="I33" s="330">
        <v>5</v>
      </c>
      <c r="J33" s="331"/>
      <c r="K33" s="332">
        <f t="shared" si="1"/>
        <v>0</v>
      </c>
      <c r="L33" s="320"/>
      <c r="HV33" s="321" t="s">
        <v>1036</v>
      </c>
      <c r="HW33" s="321" t="s">
        <v>1021</v>
      </c>
      <c r="IR33" s="333">
        <f>J33*0</f>
        <v>0</v>
      </c>
      <c r="IS33" s="333">
        <f>J33*(1-0)</f>
        <v>0</v>
      </c>
    </row>
    <row r="34" spans="1:253" x14ac:dyDescent="0.25">
      <c r="A34" s="329" t="s">
        <v>961</v>
      </c>
      <c r="B34" s="321" t="s">
        <v>1074</v>
      </c>
      <c r="C34" s="504" t="s">
        <v>1075</v>
      </c>
      <c r="D34" s="505"/>
      <c r="E34" s="505"/>
      <c r="F34" s="505"/>
      <c r="G34" s="505"/>
      <c r="H34" s="321" t="s">
        <v>136</v>
      </c>
      <c r="I34" s="330">
        <v>4</v>
      </c>
      <c r="J34" s="331"/>
      <c r="K34" s="332">
        <f t="shared" si="1"/>
        <v>0</v>
      </c>
      <c r="L34" s="320"/>
      <c r="HV34" s="321" t="s">
        <v>1036</v>
      </c>
      <c r="HW34" s="321" t="s">
        <v>1021</v>
      </c>
      <c r="IR34" s="333">
        <f>J34*0</f>
        <v>0</v>
      </c>
      <c r="IS34" s="333">
        <f>J34*(1-0)</f>
        <v>0</v>
      </c>
    </row>
    <row r="35" spans="1:253" x14ac:dyDescent="0.25">
      <c r="A35" s="329" t="s">
        <v>1076</v>
      </c>
      <c r="B35" s="321" t="s">
        <v>1077</v>
      </c>
      <c r="C35" s="504" t="s">
        <v>1078</v>
      </c>
      <c r="D35" s="505"/>
      <c r="E35" s="505"/>
      <c r="F35" s="505"/>
      <c r="G35" s="505"/>
      <c r="H35" s="321" t="s">
        <v>136</v>
      </c>
      <c r="I35" s="330">
        <v>3</v>
      </c>
      <c r="J35" s="331"/>
      <c r="K35" s="332">
        <f t="shared" si="1"/>
        <v>0</v>
      </c>
      <c r="L35" s="320"/>
      <c r="HV35" s="321" t="s">
        <v>1036</v>
      </c>
      <c r="HW35" s="321" t="s">
        <v>1021</v>
      </c>
      <c r="IR35" s="333">
        <f>J35*0</f>
        <v>0</v>
      </c>
      <c r="IS35" s="333">
        <f>J35*(1-0)</f>
        <v>0</v>
      </c>
    </row>
    <row r="36" spans="1:253" x14ac:dyDescent="0.25">
      <c r="A36" s="329" t="s">
        <v>1079</v>
      </c>
      <c r="B36" s="321" t="s">
        <v>1080</v>
      </c>
      <c r="C36" s="504" t="s">
        <v>1081</v>
      </c>
      <c r="D36" s="505"/>
      <c r="E36" s="505"/>
      <c r="F36" s="505"/>
      <c r="G36" s="505"/>
      <c r="H36" s="321" t="s">
        <v>203</v>
      </c>
      <c r="I36" s="330">
        <v>52</v>
      </c>
      <c r="J36" s="331"/>
      <c r="K36" s="332">
        <f t="shared" si="1"/>
        <v>0</v>
      </c>
      <c r="L36" s="320"/>
      <c r="HV36" s="321" t="s">
        <v>1036</v>
      </c>
      <c r="HW36" s="321" t="s">
        <v>1021</v>
      </c>
      <c r="IR36" s="333">
        <f>J36*0.0270946227594831</f>
        <v>0</v>
      </c>
      <c r="IS36" s="333">
        <f>J36*(1-0.0270946227594831)</f>
        <v>0</v>
      </c>
    </row>
    <row r="37" spans="1:253" x14ac:dyDescent="0.25">
      <c r="A37" s="329" t="s">
        <v>1082</v>
      </c>
      <c r="B37" s="321" t="s">
        <v>1083</v>
      </c>
      <c r="C37" s="504" t="s">
        <v>1084</v>
      </c>
      <c r="D37" s="505"/>
      <c r="E37" s="505"/>
      <c r="F37" s="505"/>
      <c r="G37" s="505"/>
      <c r="H37" s="321" t="s">
        <v>154</v>
      </c>
      <c r="I37" s="330">
        <v>0.43293999999999999</v>
      </c>
      <c r="J37" s="331"/>
      <c r="K37" s="332">
        <f t="shared" si="1"/>
        <v>0</v>
      </c>
      <c r="L37" s="320"/>
      <c r="HV37" s="321" t="s">
        <v>1036</v>
      </c>
      <c r="HW37" s="321" t="s">
        <v>1021</v>
      </c>
      <c r="IR37" s="333">
        <f>J37*0</f>
        <v>0</v>
      </c>
      <c r="IS37" s="333">
        <f>J37*(1-0)</f>
        <v>0</v>
      </c>
    </row>
    <row r="38" spans="1:253" ht="13" x14ac:dyDescent="0.25">
      <c r="A38" s="334" t="s">
        <v>1016</v>
      </c>
      <c r="B38" s="335" t="s">
        <v>1085</v>
      </c>
      <c r="C38" s="526" t="s">
        <v>1086</v>
      </c>
      <c r="D38" s="527"/>
      <c r="E38" s="527"/>
      <c r="F38" s="527"/>
      <c r="G38" s="527"/>
      <c r="H38" s="335" t="s">
        <v>1016</v>
      </c>
      <c r="I38" s="336" t="s">
        <v>1016</v>
      </c>
      <c r="J38" s="336" t="s">
        <v>1016</v>
      </c>
      <c r="K38" s="337">
        <f>SUM(K39:K46)</f>
        <v>0</v>
      </c>
      <c r="L38" s="320"/>
    </row>
    <row r="39" spans="1:253" x14ac:dyDescent="0.25">
      <c r="A39" s="329" t="s">
        <v>1087</v>
      </c>
      <c r="B39" s="321" t="s">
        <v>1088</v>
      </c>
      <c r="C39" s="504" t="s">
        <v>1089</v>
      </c>
      <c r="D39" s="505"/>
      <c r="E39" s="505"/>
      <c r="F39" s="505"/>
      <c r="G39" s="505"/>
      <c r="H39" s="321" t="s">
        <v>136</v>
      </c>
      <c r="I39" s="330">
        <v>4</v>
      </c>
      <c r="J39" s="331"/>
      <c r="K39" s="332">
        <f t="shared" ref="K39:K46" si="2">IR39*I39+IS39*I39</f>
        <v>0</v>
      </c>
      <c r="L39" s="320"/>
      <c r="HV39" s="321" t="s">
        <v>1085</v>
      </c>
      <c r="HW39" s="321" t="s">
        <v>1021</v>
      </c>
      <c r="IR39" s="333">
        <f>J39*0.285976980181162</f>
        <v>0</v>
      </c>
      <c r="IS39" s="333">
        <f>J39*(1-0.285976980181162)</f>
        <v>0</v>
      </c>
    </row>
    <row r="40" spans="1:253" x14ac:dyDescent="0.25">
      <c r="A40" s="329" t="s">
        <v>1090</v>
      </c>
      <c r="B40" s="321" t="s">
        <v>1091</v>
      </c>
      <c r="C40" s="504" t="s">
        <v>1092</v>
      </c>
      <c r="D40" s="505"/>
      <c r="E40" s="505"/>
      <c r="F40" s="505"/>
      <c r="G40" s="505"/>
      <c r="H40" s="321" t="s">
        <v>203</v>
      </c>
      <c r="I40" s="330">
        <v>76</v>
      </c>
      <c r="J40" s="331"/>
      <c r="K40" s="332">
        <f t="shared" si="2"/>
        <v>0</v>
      </c>
      <c r="L40" s="320"/>
      <c r="HV40" s="321" t="s">
        <v>1085</v>
      </c>
      <c r="HW40" s="321" t="s">
        <v>1021</v>
      </c>
      <c r="IR40" s="333">
        <f>J40*0.591279069767442</f>
        <v>0</v>
      </c>
      <c r="IS40" s="333">
        <f>J40*(1-0.591279069767442)</f>
        <v>0</v>
      </c>
    </row>
    <row r="41" spans="1:253" x14ac:dyDescent="0.25">
      <c r="A41" s="329" t="s">
        <v>1093</v>
      </c>
      <c r="B41" s="321" t="s">
        <v>1094</v>
      </c>
      <c r="C41" s="504" t="s">
        <v>1095</v>
      </c>
      <c r="D41" s="505"/>
      <c r="E41" s="505"/>
      <c r="F41" s="505"/>
      <c r="G41" s="505"/>
      <c r="H41" s="321" t="s">
        <v>203</v>
      </c>
      <c r="I41" s="330">
        <v>14</v>
      </c>
      <c r="J41" s="331"/>
      <c r="K41" s="332">
        <f t="shared" si="2"/>
        <v>0</v>
      </c>
      <c r="L41" s="320"/>
      <c r="HV41" s="321" t="s">
        <v>1085</v>
      </c>
      <c r="HW41" s="321" t="s">
        <v>1021</v>
      </c>
      <c r="IR41" s="333">
        <f>J41*0.656753688989784</f>
        <v>0</v>
      </c>
      <c r="IS41" s="333">
        <f>J41*(1-0.656753688989784)</f>
        <v>0</v>
      </c>
    </row>
    <row r="42" spans="1:253" x14ac:dyDescent="0.25">
      <c r="A42" s="329" t="s">
        <v>1096</v>
      </c>
      <c r="B42" s="321" t="s">
        <v>1097</v>
      </c>
      <c r="C42" s="504" t="s">
        <v>1098</v>
      </c>
      <c r="D42" s="505"/>
      <c r="E42" s="505"/>
      <c r="F42" s="505"/>
      <c r="G42" s="505"/>
      <c r="H42" s="321" t="s">
        <v>136</v>
      </c>
      <c r="I42" s="330">
        <v>21</v>
      </c>
      <c r="J42" s="331"/>
      <c r="K42" s="332">
        <f t="shared" si="2"/>
        <v>0</v>
      </c>
      <c r="L42" s="320"/>
      <c r="HV42" s="321" t="s">
        <v>1085</v>
      </c>
      <c r="HW42" s="321" t="s">
        <v>1021</v>
      </c>
      <c r="IR42" s="333">
        <f>J42*0</f>
        <v>0</v>
      </c>
      <c r="IS42" s="333">
        <f>J42*(1-0)</f>
        <v>0</v>
      </c>
    </row>
    <row r="43" spans="1:253" x14ac:dyDescent="0.25">
      <c r="A43" s="329" t="s">
        <v>1099</v>
      </c>
      <c r="B43" s="321" t="s">
        <v>1100</v>
      </c>
      <c r="C43" s="504" t="s">
        <v>1101</v>
      </c>
      <c r="D43" s="505"/>
      <c r="E43" s="505"/>
      <c r="F43" s="505"/>
      <c r="G43" s="505"/>
      <c r="H43" s="321" t="s">
        <v>136</v>
      </c>
      <c r="I43" s="330">
        <v>17</v>
      </c>
      <c r="J43" s="331"/>
      <c r="K43" s="332">
        <f t="shared" si="2"/>
        <v>0</v>
      </c>
      <c r="L43" s="320"/>
      <c r="HV43" s="321" t="s">
        <v>1085</v>
      </c>
      <c r="HW43" s="321" t="s">
        <v>1021</v>
      </c>
      <c r="IR43" s="333">
        <f>J43*0.424342105263158</f>
        <v>0</v>
      </c>
      <c r="IS43" s="333">
        <f>J43*(1-0.424342105263158)</f>
        <v>0</v>
      </c>
    </row>
    <row r="44" spans="1:253" x14ac:dyDescent="0.25">
      <c r="A44" s="329" t="s">
        <v>1102</v>
      </c>
      <c r="B44" s="321" t="s">
        <v>1103</v>
      </c>
      <c r="C44" s="504" t="s">
        <v>1104</v>
      </c>
      <c r="D44" s="505"/>
      <c r="E44" s="505"/>
      <c r="F44" s="505"/>
      <c r="G44" s="505"/>
      <c r="H44" s="321" t="s">
        <v>203</v>
      </c>
      <c r="I44" s="330">
        <v>90</v>
      </c>
      <c r="J44" s="331"/>
      <c r="K44" s="332">
        <f t="shared" si="2"/>
        <v>0</v>
      </c>
      <c r="L44" s="320"/>
      <c r="HV44" s="321" t="s">
        <v>1085</v>
      </c>
      <c r="HW44" s="321" t="s">
        <v>1021</v>
      </c>
      <c r="IR44" s="333">
        <f>J44*0.0162443144899285</f>
        <v>0</v>
      </c>
      <c r="IS44" s="333">
        <f>J44*(1-0.0162443144899285)</f>
        <v>0</v>
      </c>
    </row>
    <row r="45" spans="1:253" x14ac:dyDescent="0.25">
      <c r="A45" s="329" t="s">
        <v>1105</v>
      </c>
      <c r="B45" s="321" t="s">
        <v>1106</v>
      </c>
      <c r="C45" s="504" t="s">
        <v>1107</v>
      </c>
      <c r="D45" s="505"/>
      <c r="E45" s="505"/>
      <c r="F45" s="505"/>
      <c r="G45" s="505"/>
      <c r="H45" s="321" t="s">
        <v>203</v>
      </c>
      <c r="I45" s="330">
        <v>90</v>
      </c>
      <c r="J45" s="331"/>
      <c r="K45" s="332">
        <f t="shared" si="2"/>
        <v>0</v>
      </c>
      <c r="L45" s="320"/>
      <c r="HV45" s="321" t="s">
        <v>1085</v>
      </c>
      <c r="HW45" s="321" t="s">
        <v>1021</v>
      </c>
      <c r="IR45" s="333">
        <f>J45*0.0512578616352201</f>
        <v>0</v>
      </c>
      <c r="IS45" s="333">
        <f>J45*(1-0.0512578616352201)</f>
        <v>0</v>
      </c>
    </row>
    <row r="46" spans="1:253" x14ac:dyDescent="0.25">
      <c r="A46" s="329" t="s">
        <v>1108</v>
      </c>
      <c r="B46" s="321" t="s">
        <v>1109</v>
      </c>
      <c r="C46" s="504" t="s">
        <v>1110</v>
      </c>
      <c r="D46" s="505"/>
      <c r="E46" s="505"/>
      <c r="F46" s="505"/>
      <c r="G46" s="505"/>
      <c r="H46" s="321" t="s">
        <v>154</v>
      </c>
      <c r="I46" s="330">
        <v>8.2839999999999997E-2</v>
      </c>
      <c r="J46" s="331"/>
      <c r="K46" s="332">
        <f t="shared" si="2"/>
        <v>0</v>
      </c>
      <c r="L46" s="320"/>
      <c r="HV46" s="321" t="s">
        <v>1085</v>
      </c>
      <c r="HW46" s="321" t="s">
        <v>1021</v>
      </c>
      <c r="IR46" s="333">
        <f>J46*0</f>
        <v>0</v>
      </c>
      <c r="IS46" s="333">
        <f>J46*(1-0)</f>
        <v>0</v>
      </c>
    </row>
    <row r="47" spans="1:253" ht="13" x14ac:dyDescent="0.25">
      <c r="A47" s="334" t="s">
        <v>1016</v>
      </c>
      <c r="B47" s="335" t="s">
        <v>1111</v>
      </c>
      <c r="C47" s="526" t="s">
        <v>1112</v>
      </c>
      <c r="D47" s="527"/>
      <c r="E47" s="527"/>
      <c r="F47" s="527"/>
      <c r="G47" s="527"/>
      <c r="H47" s="335" t="s">
        <v>1016</v>
      </c>
      <c r="I47" s="336" t="s">
        <v>1016</v>
      </c>
      <c r="J47" s="336" t="s">
        <v>1016</v>
      </c>
      <c r="K47" s="337">
        <f>SUM(K48:K76)</f>
        <v>0</v>
      </c>
      <c r="L47" s="320"/>
    </row>
    <row r="48" spans="1:253" x14ac:dyDescent="0.25">
      <c r="A48" s="329" t="s">
        <v>1113</v>
      </c>
      <c r="B48" s="321" t="s">
        <v>1114</v>
      </c>
      <c r="C48" s="504" t="s">
        <v>1115</v>
      </c>
      <c r="D48" s="505"/>
      <c r="E48" s="505"/>
      <c r="F48" s="505"/>
      <c r="G48" s="505"/>
      <c r="H48" s="321" t="s">
        <v>136</v>
      </c>
      <c r="I48" s="330">
        <v>1</v>
      </c>
      <c r="J48" s="331"/>
      <c r="K48" s="332">
        <f t="shared" ref="K48:K76" si="3">IR48*I48+IS48*I48</f>
        <v>0</v>
      </c>
      <c r="L48" s="320"/>
      <c r="HV48" s="321" t="s">
        <v>1111</v>
      </c>
      <c r="HW48" s="321" t="s">
        <v>1116</v>
      </c>
      <c r="IR48" s="333">
        <f t="shared" ref="IR48:IR57" si="4">J48*1</f>
        <v>0</v>
      </c>
      <c r="IS48" s="333">
        <f t="shared" ref="IS48:IS57" si="5">J48*(1-1)</f>
        <v>0</v>
      </c>
    </row>
    <row r="49" spans="1:253" x14ac:dyDescent="0.25">
      <c r="A49" s="329" t="s">
        <v>1117</v>
      </c>
      <c r="B49" s="321" t="s">
        <v>1118</v>
      </c>
      <c r="C49" s="504" t="s">
        <v>1119</v>
      </c>
      <c r="D49" s="505"/>
      <c r="E49" s="505"/>
      <c r="F49" s="505"/>
      <c r="G49" s="505"/>
      <c r="H49" s="321" t="s">
        <v>136</v>
      </c>
      <c r="I49" s="330">
        <v>1</v>
      </c>
      <c r="J49" s="331"/>
      <c r="K49" s="332">
        <f t="shared" si="3"/>
        <v>0</v>
      </c>
      <c r="L49" s="320"/>
      <c r="HV49" s="321" t="s">
        <v>1111</v>
      </c>
      <c r="HW49" s="321" t="s">
        <v>1116</v>
      </c>
      <c r="IR49" s="333">
        <f t="shared" si="4"/>
        <v>0</v>
      </c>
      <c r="IS49" s="333">
        <f t="shared" si="5"/>
        <v>0</v>
      </c>
    </row>
    <row r="50" spans="1:253" x14ac:dyDescent="0.25">
      <c r="A50" s="329" t="s">
        <v>1120</v>
      </c>
      <c r="B50" s="321" t="s">
        <v>1121</v>
      </c>
      <c r="C50" s="504" t="s">
        <v>1122</v>
      </c>
      <c r="D50" s="505"/>
      <c r="E50" s="505"/>
      <c r="F50" s="505"/>
      <c r="G50" s="505"/>
      <c r="H50" s="321" t="s">
        <v>136</v>
      </c>
      <c r="I50" s="330">
        <v>1</v>
      </c>
      <c r="J50" s="331"/>
      <c r="K50" s="332">
        <f t="shared" si="3"/>
        <v>0</v>
      </c>
      <c r="L50" s="320"/>
      <c r="HV50" s="321" t="s">
        <v>1111</v>
      </c>
      <c r="HW50" s="321" t="s">
        <v>1116</v>
      </c>
      <c r="IR50" s="333">
        <f t="shared" si="4"/>
        <v>0</v>
      </c>
      <c r="IS50" s="333">
        <f t="shared" si="5"/>
        <v>0</v>
      </c>
    </row>
    <row r="51" spans="1:253" x14ac:dyDescent="0.25">
      <c r="A51" s="329" t="s">
        <v>1123</v>
      </c>
      <c r="B51" s="321" t="s">
        <v>1124</v>
      </c>
      <c r="C51" s="504" t="s">
        <v>1125</v>
      </c>
      <c r="D51" s="505"/>
      <c r="E51" s="505"/>
      <c r="F51" s="505"/>
      <c r="G51" s="505"/>
      <c r="H51" s="321" t="s">
        <v>136</v>
      </c>
      <c r="I51" s="330">
        <v>1</v>
      </c>
      <c r="J51" s="331"/>
      <c r="K51" s="332">
        <f t="shared" si="3"/>
        <v>0</v>
      </c>
      <c r="L51" s="320"/>
      <c r="HV51" s="321" t="s">
        <v>1111</v>
      </c>
      <c r="HW51" s="321" t="s">
        <v>1116</v>
      </c>
      <c r="IR51" s="333">
        <f t="shared" si="4"/>
        <v>0</v>
      </c>
      <c r="IS51" s="333">
        <f t="shared" si="5"/>
        <v>0</v>
      </c>
    </row>
    <row r="52" spans="1:253" x14ac:dyDescent="0.25">
      <c r="A52" s="329" t="s">
        <v>1126</v>
      </c>
      <c r="B52" s="321" t="s">
        <v>1127</v>
      </c>
      <c r="C52" s="504" t="s">
        <v>1128</v>
      </c>
      <c r="D52" s="505"/>
      <c r="E52" s="505"/>
      <c r="F52" s="505"/>
      <c r="G52" s="505"/>
      <c r="H52" s="321" t="s">
        <v>136</v>
      </c>
      <c r="I52" s="330">
        <v>1</v>
      </c>
      <c r="J52" s="331"/>
      <c r="K52" s="332">
        <f t="shared" si="3"/>
        <v>0</v>
      </c>
      <c r="L52" s="320"/>
      <c r="HV52" s="321" t="s">
        <v>1111</v>
      </c>
      <c r="HW52" s="321" t="s">
        <v>1116</v>
      </c>
      <c r="IR52" s="333">
        <f t="shared" si="4"/>
        <v>0</v>
      </c>
      <c r="IS52" s="333">
        <f t="shared" si="5"/>
        <v>0</v>
      </c>
    </row>
    <row r="53" spans="1:253" x14ac:dyDescent="0.25">
      <c r="A53" s="329" t="s">
        <v>1129</v>
      </c>
      <c r="B53" s="321" t="s">
        <v>1130</v>
      </c>
      <c r="C53" s="504" t="s">
        <v>1131</v>
      </c>
      <c r="D53" s="505"/>
      <c r="E53" s="505"/>
      <c r="F53" s="505"/>
      <c r="G53" s="505"/>
      <c r="H53" s="321" t="s">
        <v>136</v>
      </c>
      <c r="I53" s="330">
        <v>1</v>
      </c>
      <c r="J53" s="331"/>
      <c r="K53" s="332">
        <f t="shared" si="3"/>
        <v>0</v>
      </c>
      <c r="L53" s="320"/>
      <c r="HV53" s="321" t="s">
        <v>1111</v>
      </c>
      <c r="HW53" s="321" t="s">
        <v>1116</v>
      </c>
      <c r="IR53" s="333">
        <f t="shared" si="4"/>
        <v>0</v>
      </c>
      <c r="IS53" s="333">
        <f t="shared" si="5"/>
        <v>0</v>
      </c>
    </row>
    <row r="54" spans="1:253" x14ac:dyDescent="0.25">
      <c r="A54" s="329" t="s">
        <v>1132</v>
      </c>
      <c r="B54" s="321" t="s">
        <v>1133</v>
      </c>
      <c r="C54" s="504" t="s">
        <v>1134</v>
      </c>
      <c r="D54" s="505"/>
      <c r="E54" s="505"/>
      <c r="F54" s="505"/>
      <c r="G54" s="505"/>
      <c r="H54" s="321" t="s">
        <v>136</v>
      </c>
      <c r="I54" s="330">
        <v>1</v>
      </c>
      <c r="J54" s="331"/>
      <c r="K54" s="332">
        <f t="shared" si="3"/>
        <v>0</v>
      </c>
      <c r="L54" s="320"/>
      <c r="HV54" s="321" t="s">
        <v>1111</v>
      </c>
      <c r="HW54" s="321" t="s">
        <v>1116</v>
      </c>
      <c r="IR54" s="333">
        <f t="shared" si="4"/>
        <v>0</v>
      </c>
      <c r="IS54" s="333">
        <f t="shared" si="5"/>
        <v>0</v>
      </c>
    </row>
    <row r="55" spans="1:253" x14ac:dyDescent="0.25">
      <c r="A55" s="329" t="s">
        <v>264</v>
      </c>
      <c r="B55" s="321" t="s">
        <v>1135</v>
      </c>
      <c r="C55" s="504" t="s">
        <v>1136</v>
      </c>
      <c r="D55" s="505"/>
      <c r="E55" s="505"/>
      <c r="F55" s="505"/>
      <c r="G55" s="505"/>
      <c r="H55" s="321" t="s">
        <v>136</v>
      </c>
      <c r="I55" s="330">
        <v>1</v>
      </c>
      <c r="J55" s="331"/>
      <c r="K55" s="332">
        <f t="shared" si="3"/>
        <v>0</v>
      </c>
      <c r="L55" s="320"/>
      <c r="HV55" s="321" t="s">
        <v>1111</v>
      </c>
      <c r="HW55" s="321" t="s">
        <v>1116</v>
      </c>
      <c r="IR55" s="333">
        <f t="shared" si="4"/>
        <v>0</v>
      </c>
      <c r="IS55" s="333">
        <f t="shared" si="5"/>
        <v>0</v>
      </c>
    </row>
    <row r="56" spans="1:253" x14ac:dyDescent="0.25">
      <c r="A56" s="329" t="s">
        <v>1137</v>
      </c>
      <c r="B56" s="321" t="s">
        <v>1138</v>
      </c>
      <c r="C56" s="504" t="s">
        <v>1139</v>
      </c>
      <c r="D56" s="505"/>
      <c r="E56" s="505"/>
      <c r="F56" s="505"/>
      <c r="G56" s="505"/>
      <c r="H56" s="321" t="s">
        <v>136</v>
      </c>
      <c r="I56" s="330">
        <v>1</v>
      </c>
      <c r="J56" s="331"/>
      <c r="K56" s="332">
        <f t="shared" si="3"/>
        <v>0</v>
      </c>
      <c r="L56" s="320"/>
      <c r="HV56" s="321" t="s">
        <v>1111</v>
      </c>
      <c r="HW56" s="321" t="s">
        <v>1116</v>
      </c>
      <c r="IR56" s="333">
        <f t="shared" si="4"/>
        <v>0</v>
      </c>
      <c r="IS56" s="333">
        <f t="shared" si="5"/>
        <v>0</v>
      </c>
    </row>
    <row r="57" spans="1:253" x14ac:dyDescent="0.25">
      <c r="A57" s="329" t="s">
        <v>1140</v>
      </c>
      <c r="B57" s="321" t="s">
        <v>1141</v>
      </c>
      <c r="C57" s="504" t="s">
        <v>1142</v>
      </c>
      <c r="D57" s="505"/>
      <c r="E57" s="505"/>
      <c r="F57" s="505"/>
      <c r="G57" s="505"/>
      <c r="H57" s="321" t="s">
        <v>136</v>
      </c>
      <c r="I57" s="330">
        <v>1</v>
      </c>
      <c r="J57" s="331"/>
      <c r="K57" s="332">
        <f t="shared" si="3"/>
        <v>0</v>
      </c>
      <c r="L57" s="320"/>
      <c r="HV57" s="321" t="s">
        <v>1111</v>
      </c>
      <c r="HW57" s="321" t="s">
        <v>1116</v>
      </c>
      <c r="IR57" s="333">
        <f t="shared" si="4"/>
        <v>0</v>
      </c>
      <c r="IS57" s="333">
        <f t="shared" si="5"/>
        <v>0</v>
      </c>
    </row>
    <row r="58" spans="1:253" x14ac:dyDescent="0.25">
      <c r="A58" s="329" t="s">
        <v>1143</v>
      </c>
      <c r="B58" s="321" t="s">
        <v>1144</v>
      </c>
      <c r="C58" s="504" t="s">
        <v>1145</v>
      </c>
      <c r="D58" s="505"/>
      <c r="E58" s="505"/>
      <c r="F58" s="505"/>
      <c r="G58" s="505"/>
      <c r="H58" s="321" t="s">
        <v>574</v>
      </c>
      <c r="I58" s="330">
        <v>1</v>
      </c>
      <c r="J58" s="331"/>
      <c r="K58" s="332">
        <f t="shared" si="3"/>
        <v>0</v>
      </c>
      <c r="L58" s="320"/>
      <c r="HV58" s="321" t="s">
        <v>1111</v>
      </c>
      <c r="HW58" s="321" t="s">
        <v>1021</v>
      </c>
      <c r="IR58" s="333">
        <f>J58*0.883377828054299</f>
        <v>0</v>
      </c>
      <c r="IS58" s="333">
        <f>J58*(1-0.883377828054299)</f>
        <v>0</v>
      </c>
    </row>
    <row r="59" spans="1:253" x14ac:dyDescent="0.25">
      <c r="A59" s="329" t="s">
        <v>1146</v>
      </c>
      <c r="B59" s="321" t="s">
        <v>1147</v>
      </c>
      <c r="C59" s="504" t="s">
        <v>1148</v>
      </c>
      <c r="D59" s="505"/>
      <c r="E59" s="505"/>
      <c r="F59" s="505"/>
      <c r="G59" s="505"/>
      <c r="H59" s="321" t="s">
        <v>574</v>
      </c>
      <c r="I59" s="330">
        <v>1</v>
      </c>
      <c r="J59" s="331"/>
      <c r="K59" s="332">
        <f t="shared" si="3"/>
        <v>0</v>
      </c>
      <c r="L59" s="320"/>
      <c r="HV59" s="321" t="s">
        <v>1111</v>
      </c>
      <c r="HW59" s="321" t="s">
        <v>1021</v>
      </c>
      <c r="IR59" s="333">
        <f>J59*0.919078492935636</f>
        <v>0</v>
      </c>
      <c r="IS59" s="333">
        <f>J59*(1-0.919078492935636)</f>
        <v>0</v>
      </c>
    </row>
    <row r="60" spans="1:253" x14ac:dyDescent="0.25">
      <c r="A60" s="329" t="s">
        <v>1149</v>
      </c>
      <c r="B60" s="321" t="s">
        <v>1150</v>
      </c>
      <c r="C60" s="504" t="s">
        <v>1151</v>
      </c>
      <c r="D60" s="505"/>
      <c r="E60" s="505"/>
      <c r="F60" s="505"/>
      <c r="G60" s="505"/>
      <c r="H60" s="321" t="s">
        <v>574</v>
      </c>
      <c r="I60" s="330">
        <v>2</v>
      </c>
      <c r="J60" s="331"/>
      <c r="K60" s="332">
        <f t="shared" si="3"/>
        <v>0</v>
      </c>
      <c r="L60" s="320"/>
      <c r="HV60" s="321" t="s">
        <v>1111</v>
      </c>
      <c r="HW60" s="321" t="s">
        <v>1021</v>
      </c>
      <c r="IR60" s="333">
        <f>J60*0.710398668499625</f>
        <v>0</v>
      </c>
      <c r="IS60" s="333">
        <f>J60*(1-0.710398668499625)</f>
        <v>0</v>
      </c>
    </row>
    <row r="61" spans="1:253" x14ac:dyDescent="0.25">
      <c r="A61" s="329" t="s">
        <v>1152</v>
      </c>
      <c r="B61" s="321" t="s">
        <v>1153</v>
      </c>
      <c r="C61" s="504" t="s">
        <v>1154</v>
      </c>
      <c r="D61" s="505"/>
      <c r="E61" s="505"/>
      <c r="F61" s="505"/>
      <c r="G61" s="505"/>
      <c r="H61" s="321" t="s">
        <v>574</v>
      </c>
      <c r="I61" s="330">
        <v>1</v>
      </c>
      <c r="J61" s="331"/>
      <c r="K61" s="332">
        <f t="shared" si="3"/>
        <v>0</v>
      </c>
      <c r="L61" s="320"/>
      <c r="HV61" s="321" t="s">
        <v>1111</v>
      </c>
      <c r="HW61" s="321" t="s">
        <v>1021</v>
      </c>
      <c r="IR61" s="333">
        <f>J61*0.757730811201419</f>
        <v>0</v>
      </c>
      <c r="IS61" s="333">
        <f>J61*(1-0.757730811201419)</f>
        <v>0</v>
      </c>
    </row>
    <row r="62" spans="1:253" x14ac:dyDescent="0.25">
      <c r="A62" s="329" t="s">
        <v>1155</v>
      </c>
      <c r="B62" s="321" t="s">
        <v>1156</v>
      </c>
      <c r="C62" s="504" t="s">
        <v>1157</v>
      </c>
      <c r="D62" s="505"/>
      <c r="E62" s="505"/>
      <c r="F62" s="505"/>
      <c r="G62" s="505"/>
      <c r="H62" s="321" t="s">
        <v>574</v>
      </c>
      <c r="I62" s="330">
        <v>1</v>
      </c>
      <c r="J62" s="331"/>
      <c r="K62" s="332">
        <f t="shared" si="3"/>
        <v>0</v>
      </c>
      <c r="L62" s="320"/>
      <c r="HV62" s="321" t="s">
        <v>1111</v>
      </c>
      <c r="HW62" s="321" t="s">
        <v>1021</v>
      </c>
      <c r="IR62" s="333">
        <f>J62*0.883001766784452</f>
        <v>0</v>
      </c>
      <c r="IS62" s="333">
        <f>J62*(1-0.883001766784452)</f>
        <v>0</v>
      </c>
    </row>
    <row r="63" spans="1:253" x14ac:dyDescent="0.25">
      <c r="A63" s="329" t="s">
        <v>1158</v>
      </c>
      <c r="B63" s="321" t="s">
        <v>1159</v>
      </c>
      <c r="C63" s="504" t="s">
        <v>1160</v>
      </c>
      <c r="D63" s="505"/>
      <c r="E63" s="505"/>
      <c r="F63" s="505"/>
      <c r="G63" s="505"/>
      <c r="H63" s="321" t="s">
        <v>574</v>
      </c>
      <c r="I63" s="330">
        <v>2</v>
      </c>
      <c r="J63" s="331"/>
      <c r="K63" s="332">
        <f t="shared" si="3"/>
        <v>0</v>
      </c>
      <c r="L63" s="320"/>
      <c r="HV63" s="321" t="s">
        <v>1111</v>
      </c>
      <c r="HW63" s="321" t="s">
        <v>1021</v>
      </c>
      <c r="IR63" s="333">
        <f>J63*0.844669578911196</f>
        <v>0</v>
      </c>
      <c r="IS63" s="333">
        <f>J63*(1-0.844669578911196)</f>
        <v>0</v>
      </c>
    </row>
    <row r="64" spans="1:253" x14ac:dyDescent="0.25">
      <c r="A64" s="329" t="s">
        <v>1161</v>
      </c>
      <c r="B64" s="321" t="s">
        <v>1162</v>
      </c>
      <c r="C64" s="504" t="s">
        <v>1163</v>
      </c>
      <c r="D64" s="505"/>
      <c r="E64" s="505"/>
      <c r="F64" s="505"/>
      <c r="G64" s="505"/>
      <c r="H64" s="321" t="s">
        <v>574</v>
      </c>
      <c r="I64" s="330">
        <v>2</v>
      </c>
      <c r="J64" s="331"/>
      <c r="K64" s="332">
        <f t="shared" si="3"/>
        <v>0</v>
      </c>
      <c r="L64" s="320"/>
      <c r="HV64" s="321" t="s">
        <v>1111</v>
      </c>
      <c r="HW64" s="321" t="s">
        <v>1021</v>
      </c>
      <c r="IR64" s="333">
        <f>J64*0.101232492997199</f>
        <v>0</v>
      </c>
      <c r="IS64" s="333">
        <f>J64*(1-0.101232492997199)</f>
        <v>0</v>
      </c>
    </row>
    <row r="65" spans="1:253" x14ac:dyDescent="0.25">
      <c r="A65" s="329" t="s">
        <v>393</v>
      </c>
      <c r="B65" s="321" t="s">
        <v>1164</v>
      </c>
      <c r="C65" s="504" t="s">
        <v>1165</v>
      </c>
      <c r="D65" s="505"/>
      <c r="E65" s="505"/>
      <c r="F65" s="505"/>
      <c r="G65" s="505"/>
      <c r="H65" s="321" t="s">
        <v>136</v>
      </c>
      <c r="I65" s="330">
        <v>5</v>
      </c>
      <c r="J65" s="331"/>
      <c r="K65" s="332">
        <f t="shared" si="3"/>
        <v>0</v>
      </c>
      <c r="L65" s="320"/>
      <c r="HV65" s="321" t="s">
        <v>1111</v>
      </c>
      <c r="HW65" s="321" t="s">
        <v>1021</v>
      </c>
      <c r="IR65" s="333">
        <f>J65*0.897111638954869</f>
        <v>0</v>
      </c>
      <c r="IS65" s="333">
        <f>J65*(1-0.897111638954869)</f>
        <v>0</v>
      </c>
    </row>
    <row r="66" spans="1:253" x14ac:dyDescent="0.25">
      <c r="A66" s="329" t="s">
        <v>1166</v>
      </c>
      <c r="B66" s="321" t="s">
        <v>1167</v>
      </c>
      <c r="C66" s="504" t="s">
        <v>1168</v>
      </c>
      <c r="D66" s="505"/>
      <c r="E66" s="505"/>
      <c r="F66" s="505"/>
      <c r="G66" s="505"/>
      <c r="H66" s="321" t="s">
        <v>136</v>
      </c>
      <c r="I66" s="330">
        <v>2</v>
      </c>
      <c r="J66" s="331"/>
      <c r="K66" s="332">
        <f t="shared" si="3"/>
        <v>0</v>
      </c>
      <c r="L66" s="320"/>
      <c r="HV66" s="321" t="s">
        <v>1111</v>
      </c>
      <c r="HW66" s="321" t="s">
        <v>1021</v>
      </c>
      <c r="IR66" s="333">
        <f>J66*0.888933333333333</f>
        <v>0</v>
      </c>
      <c r="IS66" s="333">
        <f>J66*(1-0.888933333333333)</f>
        <v>0</v>
      </c>
    </row>
    <row r="67" spans="1:253" x14ac:dyDescent="0.25">
      <c r="A67" s="329" t="s">
        <v>1169</v>
      </c>
      <c r="B67" s="321" t="s">
        <v>1170</v>
      </c>
      <c r="C67" s="504" t="s">
        <v>1171</v>
      </c>
      <c r="D67" s="505"/>
      <c r="E67" s="505"/>
      <c r="F67" s="505"/>
      <c r="G67" s="505"/>
      <c r="H67" s="321" t="s">
        <v>136</v>
      </c>
      <c r="I67" s="330">
        <v>1</v>
      </c>
      <c r="J67" s="331"/>
      <c r="K67" s="332">
        <f t="shared" si="3"/>
        <v>0</v>
      </c>
      <c r="L67" s="320"/>
      <c r="HV67" s="321" t="s">
        <v>1111</v>
      </c>
      <c r="HW67" s="321" t="s">
        <v>1021</v>
      </c>
      <c r="IR67" s="333">
        <f>J67*0.89794228168406</f>
        <v>0</v>
      </c>
      <c r="IS67" s="333">
        <f>J67*(1-0.89794228168406)</f>
        <v>0</v>
      </c>
    </row>
    <row r="68" spans="1:253" x14ac:dyDescent="0.25">
      <c r="A68" s="329" t="s">
        <v>1172</v>
      </c>
      <c r="B68" s="321" t="s">
        <v>1173</v>
      </c>
      <c r="C68" s="504" t="s">
        <v>1174</v>
      </c>
      <c r="D68" s="505"/>
      <c r="E68" s="505"/>
      <c r="F68" s="505"/>
      <c r="G68" s="505"/>
      <c r="H68" s="321" t="s">
        <v>136</v>
      </c>
      <c r="I68" s="330">
        <v>1</v>
      </c>
      <c r="J68" s="331"/>
      <c r="K68" s="332">
        <f t="shared" si="3"/>
        <v>0</v>
      </c>
      <c r="L68" s="320"/>
      <c r="HV68" s="321" t="s">
        <v>1111</v>
      </c>
      <c r="HW68" s="321" t="s">
        <v>1021</v>
      </c>
      <c r="IR68" s="333">
        <f>J68*0.854758515505846</f>
        <v>0</v>
      </c>
      <c r="IS68" s="333">
        <f>J68*(1-0.854758515505846)</f>
        <v>0</v>
      </c>
    </row>
    <row r="69" spans="1:253" x14ac:dyDescent="0.25">
      <c r="A69" s="329" t="s">
        <v>1175</v>
      </c>
      <c r="B69" s="321" t="s">
        <v>1176</v>
      </c>
      <c r="C69" s="504" t="s">
        <v>1177</v>
      </c>
      <c r="D69" s="505"/>
      <c r="E69" s="505"/>
      <c r="F69" s="505"/>
      <c r="G69" s="505"/>
      <c r="H69" s="321" t="s">
        <v>136</v>
      </c>
      <c r="I69" s="330">
        <v>1</v>
      </c>
      <c r="J69" s="331"/>
      <c r="K69" s="332">
        <f t="shared" si="3"/>
        <v>0</v>
      </c>
      <c r="L69" s="320"/>
      <c r="HV69" s="321" t="s">
        <v>1111</v>
      </c>
      <c r="HW69" s="321" t="s">
        <v>1021</v>
      </c>
      <c r="IR69" s="333">
        <f>J69*0.179518204817952</f>
        <v>0</v>
      </c>
      <c r="IS69" s="333">
        <f>J69*(1-0.179518204817952)</f>
        <v>0</v>
      </c>
    </row>
    <row r="70" spans="1:253" x14ac:dyDescent="0.25">
      <c r="A70" s="329" t="s">
        <v>1178</v>
      </c>
      <c r="B70" s="321" t="s">
        <v>1179</v>
      </c>
      <c r="C70" s="504" t="s">
        <v>1180</v>
      </c>
      <c r="D70" s="505"/>
      <c r="E70" s="505"/>
      <c r="F70" s="505"/>
      <c r="G70" s="505"/>
      <c r="H70" s="321" t="s">
        <v>136</v>
      </c>
      <c r="I70" s="330">
        <v>8</v>
      </c>
      <c r="J70" s="331"/>
      <c r="K70" s="332">
        <f t="shared" si="3"/>
        <v>0</v>
      </c>
      <c r="L70" s="320"/>
      <c r="HV70" s="321" t="s">
        <v>1111</v>
      </c>
      <c r="HW70" s="321" t="s">
        <v>1021</v>
      </c>
      <c r="IR70" s="333">
        <f>J70*0.197282229965157</f>
        <v>0</v>
      </c>
      <c r="IS70" s="333">
        <f>J70*(1-0.197282229965157)</f>
        <v>0</v>
      </c>
    </row>
    <row r="71" spans="1:253" x14ac:dyDescent="0.25">
      <c r="A71" s="329" t="s">
        <v>1181</v>
      </c>
      <c r="B71" s="321" t="s">
        <v>1182</v>
      </c>
      <c r="C71" s="504" t="s">
        <v>1183</v>
      </c>
      <c r="D71" s="505"/>
      <c r="E71" s="505"/>
      <c r="F71" s="505"/>
      <c r="G71" s="505"/>
      <c r="H71" s="321" t="s">
        <v>136</v>
      </c>
      <c r="I71" s="330">
        <v>2</v>
      </c>
      <c r="J71" s="331"/>
      <c r="K71" s="332">
        <f t="shared" si="3"/>
        <v>0</v>
      </c>
      <c r="L71" s="320"/>
      <c r="HV71" s="321" t="s">
        <v>1111</v>
      </c>
      <c r="HW71" s="321" t="s">
        <v>1021</v>
      </c>
      <c r="IR71" s="333">
        <f>J71*0.743871657754011</f>
        <v>0</v>
      </c>
      <c r="IS71" s="333">
        <f>J71*(1-0.743871657754011)</f>
        <v>0</v>
      </c>
    </row>
    <row r="72" spans="1:253" x14ac:dyDescent="0.25">
      <c r="A72" s="329" t="s">
        <v>1184</v>
      </c>
      <c r="B72" s="321" t="s">
        <v>1185</v>
      </c>
      <c r="C72" s="504" t="s">
        <v>1186</v>
      </c>
      <c r="D72" s="505"/>
      <c r="E72" s="505"/>
      <c r="F72" s="505"/>
      <c r="G72" s="505"/>
      <c r="H72" s="321" t="s">
        <v>136</v>
      </c>
      <c r="I72" s="330">
        <v>2</v>
      </c>
      <c r="J72" s="331"/>
      <c r="K72" s="332">
        <f t="shared" si="3"/>
        <v>0</v>
      </c>
      <c r="L72" s="320"/>
      <c r="HV72" s="321" t="s">
        <v>1111</v>
      </c>
      <c r="HW72" s="321" t="s">
        <v>1021</v>
      </c>
      <c r="IR72" s="333">
        <f>J72*0.663651685393258</f>
        <v>0</v>
      </c>
      <c r="IS72" s="333">
        <f>J72*(1-0.663651685393258)</f>
        <v>0</v>
      </c>
    </row>
    <row r="73" spans="1:253" x14ac:dyDescent="0.25">
      <c r="A73" s="329" t="s">
        <v>1187</v>
      </c>
      <c r="B73" s="321" t="s">
        <v>1188</v>
      </c>
      <c r="C73" s="504" t="s">
        <v>1189</v>
      </c>
      <c r="D73" s="505"/>
      <c r="E73" s="505"/>
      <c r="F73" s="505"/>
      <c r="G73" s="505"/>
      <c r="H73" s="321" t="s">
        <v>136</v>
      </c>
      <c r="I73" s="330">
        <v>4</v>
      </c>
      <c r="J73" s="331"/>
      <c r="K73" s="332">
        <f t="shared" si="3"/>
        <v>0</v>
      </c>
      <c r="L73" s="320"/>
      <c r="HV73" s="321" t="s">
        <v>1111</v>
      </c>
      <c r="HW73" s="321" t="s">
        <v>1021</v>
      </c>
      <c r="IR73" s="333">
        <f>J73*0.510854271356784</f>
        <v>0</v>
      </c>
      <c r="IS73" s="333">
        <f>J73*(1-0.510854271356784)</f>
        <v>0</v>
      </c>
    </row>
    <row r="74" spans="1:253" x14ac:dyDescent="0.25">
      <c r="A74" s="329" t="s">
        <v>1190</v>
      </c>
      <c r="B74" s="321" t="s">
        <v>1191</v>
      </c>
      <c r="C74" s="504" t="s">
        <v>1192</v>
      </c>
      <c r="D74" s="505"/>
      <c r="E74" s="505"/>
      <c r="F74" s="505"/>
      <c r="G74" s="505"/>
      <c r="H74" s="321" t="s">
        <v>574</v>
      </c>
      <c r="I74" s="330">
        <v>1</v>
      </c>
      <c r="J74" s="331"/>
      <c r="K74" s="332">
        <f t="shared" si="3"/>
        <v>0</v>
      </c>
      <c r="L74" s="320"/>
      <c r="HV74" s="321" t="s">
        <v>1111</v>
      </c>
      <c r="HW74" s="321" t="s">
        <v>1021</v>
      </c>
      <c r="IR74" s="333">
        <f>J74*0.892172584710675</f>
        <v>0</v>
      </c>
      <c r="IS74" s="333">
        <f>J74*(1-0.892172584710675)</f>
        <v>0</v>
      </c>
    </row>
    <row r="75" spans="1:253" x14ac:dyDescent="0.25">
      <c r="A75" s="329" t="s">
        <v>1193</v>
      </c>
      <c r="B75" s="321" t="s">
        <v>1194</v>
      </c>
      <c r="C75" s="504" t="s">
        <v>1195</v>
      </c>
      <c r="D75" s="505"/>
      <c r="E75" s="505"/>
      <c r="F75" s="505"/>
      <c r="G75" s="505"/>
      <c r="H75" s="321" t="s">
        <v>574</v>
      </c>
      <c r="I75" s="330">
        <v>1</v>
      </c>
      <c r="J75" s="331"/>
      <c r="K75" s="332">
        <f t="shared" si="3"/>
        <v>0</v>
      </c>
      <c r="L75" s="320"/>
      <c r="HV75" s="321" t="s">
        <v>1111</v>
      </c>
      <c r="HW75" s="321" t="s">
        <v>1021</v>
      </c>
      <c r="IR75" s="333">
        <f>J75*0.918231319816377</f>
        <v>0</v>
      </c>
      <c r="IS75" s="333">
        <f>J75*(1-0.918231319816377)</f>
        <v>0</v>
      </c>
    </row>
    <row r="76" spans="1:253" x14ac:dyDescent="0.25">
      <c r="A76" s="329" t="s">
        <v>1017</v>
      </c>
      <c r="B76" s="321" t="s">
        <v>1196</v>
      </c>
      <c r="C76" s="504" t="s">
        <v>1197</v>
      </c>
      <c r="D76" s="505"/>
      <c r="E76" s="505"/>
      <c r="F76" s="505"/>
      <c r="G76" s="505"/>
      <c r="H76" s="321" t="s">
        <v>154</v>
      </c>
      <c r="I76" s="330">
        <v>0.22356000000000001</v>
      </c>
      <c r="J76" s="331"/>
      <c r="K76" s="332">
        <f t="shared" si="3"/>
        <v>0</v>
      </c>
      <c r="L76" s="320"/>
      <c r="HV76" s="321" t="s">
        <v>1111</v>
      </c>
      <c r="HW76" s="321" t="s">
        <v>1021</v>
      </c>
      <c r="IR76" s="333">
        <f>J76*0</f>
        <v>0</v>
      </c>
      <c r="IS76" s="333">
        <f>J76*(1-0)</f>
        <v>0</v>
      </c>
    </row>
    <row r="77" spans="1:253" ht="13" x14ac:dyDescent="0.25">
      <c r="A77" s="334" t="s">
        <v>1016</v>
      </c>
      <c r="B77" s="335" t="s">
        <v>68</v>
      </c>
      <c r="C77" s="526" t="s">
        <v>1198</v>
      </c>
      <c r="D77" s="527"/>
      <c r="E77" s="527"/>
      <c r="F77" s="527"/>
      <c r="G77" s="527"/>
      <c r="H77" s="335" t="s">
        <v>1016</v>
      </c>
      <c r="I77" s="336" t="s">
        <v>1016</v>
      </c>
      <c r="J77" s="336" t="s">
        <v>1016</v>
      </c>
      <c r="K77" s="337">
        <f>SUM(K78:K78)</f>
        <v>0</v>
      </c>
      <c r="L77" s="320"/>
    </row>
    <row r="78" spans="1:253" x14ac:dyDescent="0.25">
      <c r="A78" s="329" t="s">
        <v>1199</v>
      </c>
      <c r="B78" s="321" t="s">
        <v>1200</v>
      </c>
      <c r="C78" s="504" t="s">
        <v>1201</v>
      </c>
      <c r="D78" s="505"/>
      <c r="E78" s="505"/>
      <c r="F78" s="505"/>
      <c r="G78" s="505"/>
      <c r="H78" s="321" t="s">
        <v>203</v>
      </c>
      <c r="I78" s="330">
        <v>3</v>
      </c>
      <c r="J78" s="331"/>
      <c r="K78" s="332">
        <f>IR78*I78+IS78*I78</f>
        <v>0</v>
      </c>
      <c r="L78" s="320"/>
      <c r="HV78" s="321" t="s">
        <v>68</v>
      </c>
      <c r="HW78" s="321" t="s">
        <v>1021</v>
      </c>
      <c r="IR78" s="333">
        <f>J78*0.0793038107937399</f>
        <v>0</v>
      </c>
      <c r="IS78" s="333">
        <f>J78*(1-0.0793038107937399)</f>
        <v>0</v>
      </c>
    </row>
    <row r="79" spans="1:253" ht="13" x14ac:dyDescent="0.25">
      <c r="A79" s="334" t="s">
        <v>1016</v>
      </c>
      <c r="B79" s="335" t="s">
        <v>1202</v>
      </c>
      <c r="C79" s="526" t="s">
        <v>1203</v>
      </c>
      <c r="D79" s="527"/>
      <c r="E79" s="527"/>
      <c r="F79" s="527"/>
      <c r="G79" s="527"/>
      <c r="H79" s="335" t="s">
        <v>1016</v>
      </c>
      <c r="I79" s="336" t="s">
        <v>1016</v>
      </c>
      <c r="J79" s="336" t="s">
        <v>1016</v>
      </c>
      <c r="K79" s="337">
        <f>SUM(K80:K84)</f>
        <v>0</v>
      </c>
      <c r="L79" s="320"/>
    </row>
    <row r="80" spans="1:253" x14ac:dyDescent="0.25">
      <c r="A80" s="329" t="s">
        <v>56</v>
      </c>
      <c r="B80" s="321" t="s">
        <v>1204</v>
      </c>
      <c r="C80" s="504" t="s">
        <v>1205</v>
      </c>
      <c r="D80" s="505"/>
      <c r="E80" s="505"/>
      <c r="F80" s="505"/>
      <c r="G80" s="505"/>
      <c r="H80" s="321" t="s">
        <v>154</v>
      </c>
      <c r="I80" s="330">
        <v>5.8470000000000001E-2</v>
      </c>
      <c r="J80" s="331"/>
      <c r="K80" s="332">
        <f>IR80*I80+IS80*I80</f>
        <v>0</v>
      </c>
      <c r="L80" s="320"/>
      <c r="HV80" s="321" t="s">
        <v>1202</v>
      </c>
      <c r="HW80" s="321" t="s">
        <v>1021</v>
      </c>
      <c r="IR80" s="333">
        <f>J80*0</f>
        <v>0</v>
      </c>
      <c r="IS80" s="333">
        <f>J80*(1-0)</f>
        <v>0</v>
      </c>
    </row>
    <row r="81" spans="1:253" x14ac:dyDescent="0.25">
      <c r="A81" s="329" t="s">
        <v>58</v>
      </c>
      <c r="B81" s="321" t="s">
        <v>274</v>
      </c>
      <c r="C81" s="504" t="s">
        <v>275</v>
      </c>
      <c r="D81" s="505"/>
      <c r="E81" s="505"/>
      <c r="F81" s="505"/>
      <c r="G81" s="505"/>
      <c r="H81" s="321" t="s">
        <v>154</v>
      </c>
      <c r="I81" s="330">
        <v>5.8470000000000001E-2</v>
      </c>
      <c r="J81" s="331"/>
      <c r="K81" s="332">
        <f>IR81*I81+IS81*I81</f>
        <v>0</v>
      </c>
      <c r="L81" s="320"/>
      <c r="HV81" s="321" t="s">
        <v>1202</v>
      </c>
      <c r="HW81" s="321" t="s">
        <v>1021</v>
      </c>
      <c r="IR81" s="333">
        <f>J81*0</f>
        <v>0</v>
      </c>
      <c r="IS81" s="333">
        <f>J81*(1-0)</f>
        <v>0</v>
      </c>
    </row>
    <row r="82" spans="1:253" x14ac:dyDescent="0.25">
      <c r="A82" s="329" t="s">
        <v>1206</v>
      </c>
      <c r="B82" s="321" t="s">
        <v>278</v>
      </c>
      <c r="C82" s="504" t="s">
        <v>279</v>
      </c>
      <c r="D82" s="505"/>
      <c r="E82" s="505"/>
      <c r="F82" s="505"/>
      <c r="G82" s="505"/>
      <c r="H82" s="321" t="s">
        <v>154</v>
      </c>
      <c r="I82" s="330">
        <v>5.8470000000000001E-2</v>
      </c>
      <c r="J82" s="331"/>
      <c r="K82" s="332">
        <f>IR82*I82+IS82*I82</f>
        <v>0</v>
      </c>
      <c r="L82" s="320"/>
      <c r="HV82" s="321" t="s">
        <v>1202</v>
      </c>
      <c r="HW82" s="321" t="s">
        <v>1021</v>
      </c>
      <c r="IR82" s="333">
        <f>J82*0</f>
        <v>0</v>
      </c>
      <c r="IS82" s="333">
        <f>J82*(1-0)</f>
        <v>0</v>
      </c>
    </row>
    <row r="83" spans="1:253" x14ac:dyDescent="0.25">
      <c r="A83" s="329" t="s">
        <v>1207</v>
      </c>
      <c r="B83" s="321" t="s">
        <v>1208</v>
      </c>
      <c r="C83" s="504" t="s">
        <v>1209</v>
      </c>
      <c r="D83" s="505"/>
      <c r="E83" s="505"/>
      <c r="F83" s="505"/>
      <c r="G83" s="505"/>
      <c r="H83" s="321" t="s">
        <v>154</v>
      </c>
      <c r="I83" s="330">
        <v>5.8470000000000001E-2</v>
      </c>
      <c r="J83" s="331"/>
      <c r="K83" s="332">
        <f>IR83*I83+IS83*I83</f>
        <v>0</v>
      </c>
      <c r="L83" s="320"/>
      <c r="HV83" s="321" t="s">
        <v>1202</v>
      </c>
      <c r="HW83" s="321" t="s">
        <v>1021</v>
      </c>
      <c r="IR83" s="333">
        <f>J83*0.0100452488687783</f>
        <v>0</v>
      </c>
      <c r="IS83" s="333">
        <f>J83*(1-0.0100452488687783)</f>
        <v>0</v>
      </c>
    </row>
    <row r="84" spans="1:253" x14ac:dyDescent="0.25">
      <c r="A84" s="338" t="s">
        <v>972</v>
      </c>
      <c r="B84" s="339" t="s">
        <v>1210</v>
      </c>
      <c r="C84" s="528" t="s">
        <v>1211</v>
      </c>
      <c r="D84" s="520"/>
      <c r="E84" s="520"/>
      <c r="F84" s="520"/>
      <c r="G84" s="520"/>
      <c r="H84" s="339" t="s">
        <v>154</v>
      </c>
      <c r="I84" s="340">
        <v>5.8470000000000001E-2</v>
      </c>
      <c r="J84" s="345"/>
      <c r="K84" s="341">
        <f>IR84*I84+IS84*I84</f>
        <v>0</v>
      </c>
      <c r="L84" s="320"/>
      <c r="HV84" s="321" t="s">
        <v>1202</v>
      </c>
      <c r="HW84" s="321" t="s">
        <v>1021</v>
      </c>
      <c r="IR84" s="333">
        <f>J84*0</f>
        <v>0</v>
      </c>
      <c r="IS84" s="333">
        <f>J84*(1-0)</f>
        <v>0</v>
      </c>
    </row>
    <row r="85" spans="1:253" x14ac:dyDescent="0.25">
      <c r="A85" s="342"/>
      <c r="B85" s="342"/>
      <c r="C85" s="342"/>
      <c r="D85" s="342"/>
      <c r="E85" s="342"/>
      <c r="F85" s="342"/>
      <c r="G85" s="342"/>
      <c r="H85" s="342"/>
      <c r="I85" s="342"/>
      <c r="J85" s="342"/>
      <c r="K85" s="342"/>
    </row>
    <row r="86" spans="1:253" ht="13" x14ac:dyDescent="0.25">
      <c r="J86" s="343" t="s">
        <v>1212</v>
      </c>
      <c r="K86" s="344">
        <f>K11+K13+K20+K38+K47+K77+K79</f>
        <v>0</v>
      </c>
    </row>
  </sheetData>
  <sheetProtection algorithmName="SHA-512" hashValue="oJgSJzvUsGUWhhzSBSNCdtJHEZMUzPc9cGh//7577AIFNDpaq6BzcOPAXbZt4Xq+OVusvDPcip7lcxNSG2UL2g==" saltValue="BdA0vXg2D4BwJ00VFE9wUw==" spinCount="100000" sheet="1" objects="1" scenarios="1"/>
  <protectedRanges>
    <protectedRange sqref="J19" name="Oblast2"/>
    <protectedRange sqref="J12 J14:J18 J21:J37 J39:J46 J48:J76 J78 J80:J84" name="Oblast1"/>
  </protectedRanges>
  <mergeCells count="100">
    <mergeCell ref="C82:G82"/>
    <mergeCell ref="C83:G83"/>
    <mergeCell ref="C84:G84"/>
    <mergeCell ref="C76:G76"/>
    <mergeCell ref="C77:G77"/>
    <mergeCell ref="C78:G78"/>
    <mergeCell ref="C79:G79"/>
    <mergeCell ref="C80:G80"/>
    <mergeCell ref="C81:G81"/>
    <mergeCell ref="C75:G75"/>
    <mergeCell ref="C64:G64"/>
    <mergeCell ref="C65:G65"/>
    <mergeCell ref="C66:G66"/>
    <mergeCell ref="C67:G67"/>
    <mergeCell ref="C68:G68"/>
    <mergeCell ref="C69:G69"/>
    <mergeCell ref="C70:G70"/>
    <mergeCell ref="C71:G71"/>
    <mergeCell ref="C72:G72"/>
    <mergeCell ref="C73:G73"/>
    <mergeCell ref="C74:G74"/>
    <mergeCell ref="C63:G63"/>
    <mergeCell ref="C52:G52"/>
    <mergeCell ref="C53:G53"/>
    <mergeCell ref="C54:G54"/>
    <mergeCell ref="C55:G55"/>
    <mergeCell ref="C56:G56"/>
    <mergeCell ref="C57:G57"/>
    <mergeCell ref="C58:G58"/>
    <mergeCell ref="C59:G59"/>
    <mergeCell ref="C60:G60"/>
    <mergeCell ref="C61:G61"/>
    <mergeCell ref="C62:G62"/>
    <mergeCell ref="C51:G51"/>
    <mergeCell ref="C40:G40"/>
    <mergeCell ref="C41:G41"/>
    <mergeCell ref="C42:G42"/>
    <mergeCell ref="C43:G43"/>
    <mergeCell ref="C44:G44"/>
    <mergeCell ref="C45:G45"/>
    <mergeCell ref="C46:G46"/>
    <mergeCell ref="C47:G47"/>
    <mergeCell ref="C48:G48"/>
    <mergeCell ref="C49:G49"/>
    <mergeCell ref="C50:G50"/>
    <mergeCell ref="C39:G39"/>
    <mergeCell ref="C28:G28"/>
    <mergeCell ref="C29:G29"/>
    <mergeCell ref="C30:G30"/>
    <mergeCell ref="C31:G31"/>
    <mergeCell ref="C32:G32"/>
    <mergeCell ref="C33:G33"/>
    <mergeCell ref="C34:G34"/>
    <mergeCell ref="C35:G35"/>
    <mergeCell ref="C36:G36"/>
    <mergeCell ref="C37:G37"/>
    <mergeCell ref="C38:G38"/>
    <mergeCell ref="C27:G27"/>
    <mergeCell ref="C16:G16"/>
    <mergeCell ref="C17:G17"/>
    <mergeCell ref="C18:G18"/>
    <mergeCell ref="C19:G19"/>
    <mergeCell ref="C20:G20"/>
    <mergeCell ref="C21:G21"/>
    <mergeCell ref="C22:G22"/>
    <mergeCell ref="C23:G23"/>
    <mergeCell ref="C24:G24"/>
    <mergeCell ref="C25:G25"/>
    <mergeCell ref="C26:G26"/>
    <mergeCell ref="C15:G15"/>
    <mergeCell ref="A8:B9"/>
    <mergeCell ref="C8:C9"/>
    <mergeCell ref="D8:E9"/>
    <mergeCell ref="F8:F9"/>
    <mergeCell ref="G8:G9"/>
    <mergeCell ref="C10:G10"/>
    <mergeCell ref="C11:G11"/>
    <mergeCell ref="C12:G12"/>
    <mergeCell ref="C13:G13"/>
    <mergeCell ref="C14:G14"/>
    <mergeCell ref="H8:K9"/>
    <mergeCell ref="A6:B7"/>
    <mergeCell ref="C6:C7"/>
    <mergeCell ref="D6:E7"/>
    <mergeCell ref="F6:F7"/>
    <mergeCell ref="G6:G7"/>
    <mergeCell ref="H6:K7"/>
    <mergeCell ref="H4:K5"/>
    <mergeCell ref="A1:K1"/>
    <mergeCell ref="A2:B3"/>
    <mergeCell ref="C2:C3"/>
    <mergeCell ref="D2:E3"/>
    <mergeCell ref="F2:F3"/>
    <mergeCell ref="G2:G3"/>
    <mergeCell ref="H2:K3"/>
    <mergeCell ref="A4:B5"/>
    <mergeCell ref="C4:C5"/>
    <mergeCell ref="D4:E5"/>
    <mergeCell ref="F4:F5"/>
    <mergeCell ref="G4:G5"/>
  </mergeCells>
  <pageMargins left="0.39400000000000002" right="0.39400000000000002" top="0.59099999999999997" bottom="0.59099999999999997" header="0.5" footer="0.5"/>
  <pageSetup paperSize="9" scale="59"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7075-0A25-4DB0-A7AC-AA917FB28BFD}">
  <sheetPr>
    <tabColor rgb="FF4BDC44"/>
  </sheetPr>
  <dimension ref="A1:I38"/>
  <sheetViews>
    <sheetView workbookViewId="0">
      <selection activeCell="C21" sqref="C21"/>
    </sheetView>
  </sheetViews>
  <sheetFormatPr defaultRowHeight="14.5" x14ac:dyDescent="0.35"/>
  <cols>
    <col min="1" max="1" width="42.81640625" style="258" bestFit="1" customWidth="1"/>
    <col min="2" max="2" width="10.7265625" style="248" bestFit="1" customWidth="1"/>
    <col min="3" max="3" width="14.36328125" style="248" bestFit="1" customWidth="1"/>
    <col min="4" max="5" width="8.7265625" style="247"/>
    <col min="6" max="6" width="10.90625" style="247" hidden="1" customWidth="1"/>
    <col min="7" max="16384" width="8.7265625" style="247"/>
  </cols>
  <sheetData>
    <row r="1" spans="1:9" ht="40" customHeight="1" x14ac:dyDescent="0.35">
      <c r="A1" s="507" t="s">
        <v>1217</v>
      </c>
      <c r="B1" s="508"/>
      <c r="C1" s="509"/>
      <c r="D1" s="313"/>
      <c r="E1" s="313"/>
      <c r="F1" s="313"/>
      <c r="G1" s="313"/>
      <c r="H1" s="313"/>
      <c r="I1" s="313"/>
    </row>
    <row r="2" spans="1:9" x14ac:dyDescent="0.35">
      <c r="A2" s="310" t="s">
        <v>5</v>
      </c>
      <c r="B2" s="311" t="s">
        <v>643</v>
      </c>
      <c r="C2" s="311" t="s">
        <v>644</v>
      </c>
      <c r="D2" s="312"/>
      <c r="F2" s="248">
        <f>SUM('D.1.4.2 ELE+SLP'!E23,'D.1.4.2 ELE+SLP'!E25:E26,'D.1.4.2 ELE+SLP'!E28:E30,'D.1.4.2 ELE+SLP'!E32:E33,'D.1.4.2 ELE+SLP'!E35:E36,'D.1.4.2 ELE+SLP'!E41:E42,'D.1.4.2 ELE+SLP'!E44,'D.1.4.2 ELE+SLP'!E46,'D.1.4.2 ELE+SLP'!E48,'D.1.4.2 ELE+SLP'!E51:E52,'D.1.4.2 ELE+SLP'!E54,'D.1.4.2 ELE+SLP'!E56,'D.1.4.2 ELE+SLP'!E58,'D.1.4.2 ELE+SLP'!E60,'D.1.4.2 ELE+SLP'!E63:E64,'D.1.4.2 ELE+SLP'!E66,'D.1.4.2 ELE+SLP'!E69:E70,'D.1.4.2 ELE+SLP'!E73:E74,'D.1.4.2 ELE+SLP'!E80:E84,'D.1.4.2 ELE+SLP'!E86:E91,'D.1.4.2 ELE+SLP'!E93:E95,'D.1.4.2 ELE+SLP'!E97:E99,'D.1.4.2 ELE+SLP'!E105:E111,'D.1.4.2 ELE+SLP'!E113:E114,'D.1.4.2 ELE+SLP'!E116:E118,'D.1.4.2 ELE+SLP'!E120:E121,'D.1.4.2 ELE+SLP'!E123:E124,'D.1.4.2 ELE+SLP'!E126:E128,'D.1.4.2 ELE+SLP'!E131:E132)+SUM('D.1.4.2 ELE+SLP'!E135:E136)</f>
        <v>0</v>
      </c>
    </row>
    <row r="3" spans="1:9" x14ac:dyDescent="0.35">
      <c r="A3" s="249" t="s">
        <v>645</v>
      </c>
      <c r="B3" s="250"/>
      <c r="C3" s="250"/>
      <c r="D3" s="246"/>
      <c r="F3" s="248">
        <f>F2+SUM('D.1.4.2 ELE+SLP'!E138:E139,'D.1.4.2 ELE+SLP'!E141:E142,'D.1.4.2 ELE+SLP'!E144:E145,'D.1.4.2 ELE+SLP'!E147:E148,'D.1.4.2 ELE+SLP'!E150:E151,'D.1.4.2 ELE+SLP'!E153:E154,'D.1.4.2 ELE+SLP'!E158:E163,'D.1.4.2 ELE+SLP'!E165:E166,'D.1.4.2 ELE+SLP'!E168:E170,'D.1.4.2 ELE+SLP'!E172:E173,'D.1.4.2 ELE+SLP'!E175:E176,'D.1.4.2 ELE+SLP'!E178:E182,'D.1.4.2 ELE+SLP'!E184:E188,'D.1.4.2 ELE+SLP'!E190:E194,'D.1.4.2 ELE+SLP'!E196:E198,'D.1.4.2 ELE+SLP'!E200:E202,'D.1.4.2 ELE+SLP'!E204:E207,'D.1.4.2 ELE+SLP'!E209:E211,'D.1.4.2 ELE+SLP'!E213:E215,'D.1.4.2 ELE+SLP'!E217:E218,'D.1.4.2 ELE+SLP'!E220:E221,'D.1.4.2 ELE+SLP'!E224,'D.1.4.2 ELE+SLP'!E227:E228,'D.1.4.2 ELE+SLP'!E230:E231,'D.1.4.2 ELE+SLP'!E233:E237,'D.1.4.2 ELE+SLP'!E239:E242)</f>
        <v>0</v>
      </c>
    </row>
    <row r="4" spans="1:9" x14ac:dyDescent="0.35">
      <c r="A4" s="251" t="s">
        <v>29</v>
      </c>
      <c r="B4" s="252">
        <f>('D.1.4.2 ELE+SLP'!E9)</f>
        <v>0</v>
      </c>
      <c r="C4" s="252"/>
      <c r="D4" s="246"/>
      <c r="F4" s="248">
        <f>SUM('D.1.4.2 ELE+SLP'!G23,'D.1.4.2 ELE+SLP'!G25:G26,'D.1.4.2 ELE+SLP'!G28:G30,'D.1.4.2 ELE+SLP'!G32:G33,'D.1.4.2 ELE+SLP'!G35:G36,'D.1.4.2 ELE+SLP'!G41:G42,'D.1.4.2 ELE+SLP'!G44,'D.1.4.2 ELE+SLP'!G46,'D.1.4.2 ELE+SLP'!G48,'D.1.4.2 ELE+SLP'!G51:G52,'D.1.4.2 ELE+SLP'!G54,'D.1.4.2 ELE+SLP'!G56,'D.1.4.2 ELE+SLP'!G58,'D.1.4.2 ELE+SLP'!G60,'D.1.4.2 ELE+SLP'!G63:G64,'D.1.4.2 ELE+SLP'!G66,'D.1.4.2 ELE+SLP'!G69:G70,'D.1.4.2 ELE+SLP'!G73:G74,'D.1.4.2 ELE+SLP'!G80:G84,'D.1.4.2 ELE+SLP'!G86:G91,'D.1.4.2 ELE+SLP'!G93:G95,'D.1.4.2 ELE+SLP'!G97:G99,'D.1.4.2 ELE+SLP'!G105:G111,'D.1.4.2 ELE+SLP'!G113:G114,'D.1.4.2 ELE+SLP'!G116:G118,'D.1.4.2 ELE+SLP'!G120:G121,'D.1.4.2 ELE+SLP'!G123:G124,'D.1.4.2 ELE+SLP'!G126:G128,'D.1.4.2 ELE+SLP'!G131:G132)+SUM('D.1.4.2 ELE+SLP'!G135:G136)</f>
        <v>0</v>
      </c>
    </row>
    <row r="5" spans="1:9" x14ac:dyDescent="0.35">
      <c r="A5" s="251" t="s">
        <v>646</v>
      </c>
      <c r="B5" s="252">
        <f>B4 * 'D.1.4.2 ELE+SLP Parametry'!B17 / 100</f>
        <v>0</v>
      </c>
      <c r="C5" s="252">
        <f>B4 * 'D.1.4.2 ELE+SLP Parametry'!B18 / 100</f>
        <v>0</v>
      </c>
      <c r="D5" s="246"/>
      <c r="F5" s="248">
        <f>F4+SUM('D.1.4.2 ELE+SLP'!G138:G139,'D.1.4.2 ELE+SLP'!G141:G142,'D.1.4.2 ELE+SLP'!G144:G145,'D.1.4.2 ELE+SLP'!G147:G148,'D.1.4.2 ELE+SLP'!G150:G151,'D.1.4.2 ELE+SLP'!G153:G154,'D.1.4.2 ELE+SLP'!G158:G163,'D.1.4.2 ELE+SLP'!G165:G166,'D.1.4.2 ELE+SLP'!G168:G170,'D.1.4.2 ELE+SLP'!G172:G173,'D.1.4.2 ELE+SLP'!G175:G176,'D.1.4.2 ELE+SLP'!G178:G182,'D.1.4.2 ELE+SLP'!G184:G188,'D.1.4.2 ELE+SLP'!G190:G194,'D.1.4.2 ELE+SLP'!G196:G198,'D.1.4.2 ELE+SLP'!G200:G202,'D.1.4.2 ELE+SLP'!G204:G207,'D.1.4.2 ELE+SLP'!G209:G211,'D.1.4.2 ELE+SLP'!G213:G215,'D.1.4.2 ELE+SLP'!G217:G218,'D.1.4.2 ELE+SLP'!G220:G221,'D.1.4.2 ELE+SLP'!G224,'D.1.4.2 ELE+SLP'!G227:G228,'D.1.4.2 ELE+SLP'!G230:G231,'D.1.4.2 ELE+SLP'!G233:G237,'D.1.4.2 ELE+SLP'!G239:G242)</f>
        <v>0</v>
      </c>
    </row>
    <row r="6" spans="1:9" x14ac:dyDescent="0.35">
      <c r="A6" s="251" t="s">
        <v>647</v>
      </c>
      <c r="B6" s="252"/>
      <c r="C6" s="252">
        <f>('D.1.4.2 ELE+SLP'!E273) + 0</f>
        <v>0</v>
      </c>
      <c r="D6" s="246"/>
      <c r="F6" s="248">
        <f>SUM('D.1.4.2 ELE+SLP'!E25,'D.1.4.2 ELE+SLP'!E28,'D.1.4.2 ELE+SLP'!E32,'D.1.4.2 ELE+SLP'!E35,'D.1.4.2 ELE+SLP'!E41,'D.1.4.2 ELE+SLP'!E51,'D.1.4.2 ELE+SLP'!E63,'D.1.4.2 ELE+SLP'!E69,'D.1.4.2 ELE+SLP'!E73,'D.1.4.2 ELE+SLP'!E80,'D.1.4.2 ELE+SLP'!E97,'D.1.4.2 ELE+SLP'!E105,'D.1.4.2 ELE+SLP'!E113,'D.1.4.2 ELE+SLP'!E116,'D.1.4.2 ELE+SLP'!E120,'D.1.4.2 ELE+SLP'!E123,'D.1.4.2 ELE+SLP'!E126,'D.1.4.2 ELE+SLP'!E131,'D.1.4.2 ELE+SLP'!E135,'D.1.4.2 ELE+SLP'!E138,'D.1.4.2 ELE+SLP'!E141,'D.1.4.2 ELE+SLP'!E144,'D.1.4.2 ELE+SLP'!E147,'D.1.4.2 ELE+SLP'!E150,'D.1.4.2 ELE+SLP'!E153,'D.1.4.2 ELE+SLP'!E158,'D.1.4.2 ELE+SLP'!E165,'D.1.4.2 ELE+SLP'!E168,'D.1.4.2 ELE+SLP'!E172)+SUM('D.1.4.2 ELE+SLP'!E175,'D.1.4.2 ELE+SLP'!E178,'D.1.4.2 ELE+SLP'!E184,'D.1.4.2 ELE+SLP'!E190,'D.1.4.2 ELE+SLP'!E196,'D.1.4.2 ELE+SLP'!E200:E201)</f>
        <v>0</v>
      </c>
    </row>
    <row r="7" spans="1:9" x14ac:dyDescent="0.35">
      <c r="A7" s="251" t="s">
        <v>648</v>
      </c>
      <c r="B7" s="252"/>
      <c r="C7" s="252">
        <f>('D.1.4.2 ELE+SLP'!G9) + ('D.1.4.2 ELE+SLP'!G273) + 0</f>
        <v>0</v>
      </c>
      <c r="D7" s="246"/>
      <c r="F7" s="248">
        <f>SUM('D.1.4.2 ELE+SLP'!G25,'D.1.4.2 ELE+SLP'!G28,'D.1.4.2 ELE+SLP'!G32,'D.1.4.2 ELE+SLP'!G35,'D.1.4.2 ELE+SLP'!G41,'D.1.4.2 ELE+SLP'!G51,'D.1.4.2 ELE+SLP'!G63,'D.1.4.2 ELE+SLP'!G69,'D.1.4.2 ELE+SLP'!G73,'D.1.4.2 ELE+SLP'!G80,'D.1.4.2 ELE+SLP'!G97,'D.1.4.2 ELE+SLP'!G105,'D.1.4.2 ELE+SLP'!G113,'D.1.4.2 ELE+SLP'!G116,'D.1.4.2 ELE+SLP'!G120,'D.1.4.2 ELE+SLP'!G123,'D.1.4.2 ELE+SLP'!G126,'D.1.4.2 ELE+SLP'!G131,'D.1.4.2 ELE+SLP'!G135,'D.1.4.2 ELE+SLP'!G138,'D.1.4.2 ELE+SLP'!G141,'D.1.4.2 ELE+SLP'!G144,'D.1.4.2 ELE+SLP'!G147,'D.1.4.2 ELE+SLP'!G150,'D.1.4.2 ELE+SLP'!G153,'D.1.4.2 ELE+SLP'!G158,'D.1.4.2 ELE+SLP'!G165,'D.1.4.2 ELE+SLP'!G168,'D.1.4.2 ELE+SLP'!G172)+SUM('D.1.4.2 ELE+SLP'!G175,'D.1.4.2 ELE+SLP'!G178,'D.1.4.2 ELE+SLP'!G184,'D.1.4.2 ELE+SLP'!G190,'D.1.4.2 ELE+SLP'!G196,'D.1.4.2 ELE+SLP'!G200:G201)</f>
        <v>0</v>
      </c>
    </row>
    <row r="8" spans="1:9" x14ac:dyDescent="0.35">
      <c r="A8" s="253" t="s">
        <v>649</v>
      </c>
      <c r="B8" s="254">
        <f>B4 + B5</f>
        <v>0</v>
      </c>
      <c r="C8" s="254">
        <f>C4 + C5 + C6 + C7</f>
        <v>0</v>
      </c>
      <c r="D8" s="246"/>
    </row>
    <row r="9" spans="1:9" x14ac:dyDescent="0.35">
      <c r="A9" s="251" t="s">
        <v>650</v>
      </c>
      <c r="B9" s="252"/>
      <c r="C9" s="252">
        <f>(C6 + C7) * 'D.1.4.2 ELE+SLP Parametry'!B19 / 100</f>
        <v>0</v>
      </c>
      <c r="D9" s="246"/>
    </row>
    <row r="10" spans="1:9" x14ac:dyDescent="0.35">
      <c r="A10" s="251" t="s">
        <v>91</v>
      </c>
      <c r="B10" s="252"/>
      <c r="C10" s="252">
        <f>0 + 0</f>
        <v>0</v>
      </c>
      <c r="D10" s="246"/>
    </row>
    <row r="11" spans="1:9" x14ac:dyDescent="0.35">
      <c r="A11" s="251" t="s">
        <v>53</v>
      </c>
      <c r="B11" s="252"/>
      <c r="C11" s="252">
        <f>0 + 0</f>
        <v>0</v>
      </c>
      <c r="D11" s="246"/>
    </row>
    <row r="12" spans="1:9" x14ac:dyDescent="0.35">
      <c r="A12" s="251" t="s">
        <v>651</v>
      </c>
      <c r="B12" s="252"/>
      <c r="C12" s="252">
        <f>(C10 + C11) * 'D.1.4.2 ELE+SLP Parametry'!B20 / 100</f>
        <v>0</v>
      </c>
      <c r="D12" s="246"/>
    </row>
    <row r="13" spans="1:9" x14ac:dyDescent="0.35">
      <c r="A13" s="253" t="s">
        <v>652</v>
      </c>
      <c r="B13" s="254">
        <f>B8</f>
        <v>0</v>
      </c>
      <c r="C13" s="254">
        <f>C8 + C9 + C10 + C11 + C12</f>
        <v>0</v>
      </c>
      <c r="D13" s="246"/>
    </row>
    <row r="14" spans="1:9" x14ac:dyDescent="0.35">
      <c r="A14" s="251" t="s">
        <v>653</v>
      </c>
      <c r="B14" s="252"/>
      <c r="C14" s="252">
        <f>(B13 + C13) * 'D.1.4.2 ELE+SLP Parametry'!B21 / 100</f>
        <v>0</v>
      </c>
      <c r="D14" s="246"/>
    </row>
    <row r="15" spans="1:9" x14ac:dyDescent="0.35">
      <c r="A15" s="251" t="s">
        <v>654</v>
      </c>
      <c r="B15" s="252"/>
      <c r="C15" s="252">
        <f>(B13 + C13) * 'D.1.4.2 ELE+SLP Parametry'!B22 / 100</f>
        <v>0</v>
      </c>
      <c r="D15" s="246"/>
    </row>
    <row r="16" spans="1:9" x14ac:dyDescent="0.35">
      <c r="A16" s="251" t="s">
        <v>655</v>
      </c>
      <c r="B16" s="252"/>
      <c r="C16" s="252">
        <f>(B8 + C8) * 'D.1.4.2 ELE+SLP Parametry'!B23 / 100</f>
        <v>0</v>
      </c>
      <c r="D16" s="246"/>
    </row>
    <row r="17" spans="1:4" x14ac:dyDescent="0.35">
      <c r="A17" s="249" t="s">
        <v>656</v>
      </c>
      <c r="B17" s="250"/>
      <c r="C17" s="250">
        <f>B13 + C13 + C14 + C15 + C16</f>
        <v>0</v>
      </c>
      <c r="D17" s="246"/>
    </row>
    <row r="18" spans="1:4" x14ac:dyDescent="0.35">
      <c r="A18" s="251" t="s">
        <v>532</v>
      </c>
      <c r="B18" s="252"/>
      <c r="C18" s="252"/>
      <c r="D18" s="246"/>
    </row>
    <row r="19" spans="1:4" x14ac:dyDescent="0.35">
      <c r="A19" s="249" t="s">
        <v>26</v>
      </c>
      <c r="B19" s="250"/>
      <c r="C19" s="250"/>
      <c r="D19" s="246"/>
    </row>
    <row r="20" spans="1:4" x14ac:dyDescent="0.35">
      <c r="A20" s="251" t="s">
        <v>657</v>
      </c>
      <c r="B20" s="252"/>
      <c r="C20" s="252">
        <f>C13 * 'D.1.4.2 ELE+SLP Parametry'!B24 / 100</f>
        <v>0</v>
      </c>
      <c r="D20" s="246"/>
    </row>
    <row r="21" spans="1:4" x14ac:dyDescent="0.35">
      <c r="A21" s="251" t="s">
        <v>658</v>
      </c>
      <c r="B21" s="252"/>
      <c r="C21" s="252">
        <f>C13 * 'D.1.4.2 ELE+SLP Parametry'!B25 / 100</f>
        <v>0</v>
      </c>
      <c r="D21" s="246"/>
    </row>
    <row r="22" spans="1:4" x14ac:dyDescent="0.35">
      <c r="A22" s="249" t="s">
        <v>659</v>
      </c>
      <c r="B22" s="250"/>
      <c r="C22" s="250">
        <f>C20 + C21</f>
        <v>0</v>
      </c>
      <c r="D22" s="246"/>
    </row>
    <row r="23" spans="1:4" x14ac:dyDescent="0.35">
      <c r="A23" s="251" t="s">
        <v>581</v>
      </c>
      <c r="B23" s="252"/>
      <c r="C23" s="252">
        <f>'D.1.4.2 ELE+SLP Parametry'!B26 * 'D.1.4.2 ELE+SLP Parametry'!B29 * (C17 * 'D.1.4.2 ELE+SLP Parametry'!B28)^'D.1.4.2 ELE+SLP Parametry'!B27</f>
        <v>0</v>
      </c>
      <c r="D23" s="246"/>
    </row>
    <row r="24" spans="1:4" x14ac:dyDescent="0.35">
      <c r="A24" s="251" t="s">
        <v>532</v>
      </c>
      <c r="B24" s="252"/>
      <c r="C24" s="252"/>
      <c r="D24" s="246"/>
    </row>
    <row r="25" spans="1:4" x14ac:dyDescent="0.35">
      <c r="A25" s="255" t="s">
        <v>660</v>
      </c>
      <c r="B25" s="256"/>
      <c r="C25" s="256">
        <f>C17 + C22 + C23</f>
        <v>0</v>
      </c>
      <c r="D25" s="246"/>
    </row>
    <row r="26" spans="1:4" x14ac:dyDescent="0.35">
      <c r="A26" s="251" t="s">
        <v>661</v>
      </c>
      <c r="B26" s="252">
        <f>C25</f>
        <v>0</v>
      </c>
      <c r="C26" s="252">
        <f>B26 * 'D.1.4.2 ELE+SLP Parametry'!B32 / 100</f>
        <v>0</v>
      </c>
      <c r="D26" s="246"/>
    </row>
    <row r="27" spans="1:4" x14ac:dyDescent="0.35">
      <c r="A27" s="255" t="s">
        <v>662</v>
      </c>
      <c r="B27" s="256"/>
      <c r="C27" s="256">
        <f>C25 + C26</f>
        <v>0</v>
      </c>
      <c r="D27" s="246"/>
    </row>
    <row r="28" spans="1:4" x14ac:dyDescent="0.35">
      <c r="A28" s="251" t="s">
        <v>532</v>
      </c>
      <c r="B28" s="252"/>
      <c r="C28" s="252"/>
      <c r="D28" s="246"/>
    </row>
    <row r="29" spans="1:4" x14ac:dyDescent="0.35">
      <c r="A29" s="251" t="s">
        <v>663</v>
      </c>
      <c r="B29" s="252"/>
      <c r="C29" s="252">
        <f>C25 * 'D.1.4.2 ELE+SLP Parametry'!B30 / 100</f>
        <v>0</v>
      </c>
      <c r="D29" s="246"/>
    </row>
    <row r="30" spans="1:4" x14ac:dyDescent="0.35">
      <c r="A30" s="251" t="s">
        <v>663</v>
      </c>
      <c r="B30" s="252"/>
      <c r="C30" s="252">
        <f>C25 * 'D.1.4.2 ELE+SLP Parametry'!B31 / 100</f>
        <v>0</v>
      </c>
      <c r="D30" s="246"/>
    </row>
    <row r="31" spans="1:4" x14ac:dyDescent="0.35">
      <c r="A31" s="249" t="s">
        <v>664</v>
      </c>
      <c r="B31" s="257" t="s">
        <v>665</v>
      </c>
      <c r="C31" s="257" t="s">
        <v>30</v>
      </c>
      <c r="D31" s="246"/>
    </row>
    <row r="32" spans="1:4" x14ac:dyDescent="0.35">
      <c r="A32" s="251" t="s">
        <v>666</v>
      </c>
      <c r="B32" s="252">
        <f>('D.1.4.2 ELE+SLP'!E9)</f>
        <v>0</v>
      </c>
      <c r="C32" s="252">
        <f>('D.1.4.2 ELE+SLP'!G9)</f>
        <v>0</v>
      </c>
      <c r="D32" s="246"/>
    </row>
    <row r="33" spans="1:4" x14ac:dyDescent="0.35">
      <c r="A33" s="251" t="s">
        <v>667</v>
      </c>
      <c r="B33" s="252">
        <f>('D.1.4.2 ELE+SLP'!E273)</f>
        <v>0</v>
      </c>
      <c r="C33" s="252">
        <f>('D.1.4.2 ELE+SLP'!G273)</f>
        <v>0</v>
      </c>
      <c r="D33" s="246"/>
    </row>
    <row r="34" spans="1:4" x14ac:dyDescent="0.35">
      <c r="A34" s="251" t="s">
        <v>668</v>
      </c>
      <c r="B34" s="252">
        <f>('D.1.4.2 ELE+SLP'!E38)</f>
        <v>0</v>
      </c>
      <c r="C34" s="252">
        <f>('D.1.4.2 ELE+SLP'!G38)</f>
        <v>0</v>
      </c>
      <c r="D34" s="246"/>
    </row>
    <row r="35" spans="1:4" x14ac:dyDescent="0.35">
      <c r="A35" s="251" t="s">
        <v>669</v>
      </c>
      <c r="B35" s="252">
        <f>('D.1.4.2 ELE+SLP'!E77)</f>
        <v>0</v>
      </c>
      <c r="C35" s="252">
        <f>('D.1.4.2 ELE+SLP'!G77)</f>
        <v>0</v>
      </c>
      <c r="D35" s="246"/>
    </row>
    <row r="36" spans="1:4" x14ac:dyDescent="0.35">
      <c r="A36" s="251" t="s">
        <v>670</v>
      </c>
      <c r="B36" s="252">
        <f>('D.1.4.2 ELE+SLP'!E103)</f>
        <v>0</v>
      </c>
      <c r="C36" s="252">
        <f>('D.1.4.2 ELE+SLP'!G103)</f>
        <v>0</v>
      </c>
      <c r="D36" s="246"/>
    </row>
    <row r="37" spans="1:4" x14ac:dyDescent="0.35">
      <c r="A37" s="251" t="s">
        <v>671</v>
      </c>
      <c r="B37" s="252">
        <f>('D.1.4.2 ELE+SLP'!E156)</f>
        <v>0</v>
      </c>
      <c r="C37" s="252">
        <f>('D.1.4.2 ELE+SLP'!G156)</f>
        <v>0</v>
      </c>
      <c r="D37" s="246"/>
    </row>
    <row r="38" spans="1:4" x14ac:dyDescent="0.35">
      <c r="A38" s="251" t="s">
        <v>532</v>
      </c>
      <c r="B38" s="252"/>
      <c r="C38" s="252"/>
      <c r="D38" s="246"/>
    </row>
  </sheetData>
  <sheetProtection algorithmName="SHA-512" hashValue="jHrNFjywx633cHnmcusrisSBIYxAvk7zyMF+JAMOGODg3v+431VqL45ZHh68y8+gSRGKHwAlRWq/yhZnvu4P7g==" saltValue="7hkbWpDWOLX6F/dnqK7T6w==" spinCount="100000" sheet="1" objects="1" scenarios="1"/>
  <mergeCells count="1">
    <mergeCell ref="A1:C1"/>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099D-AA14-4701-AAA4-2FCF28F3BB19}">
  <dimension ref="A1:C35"/>
  <sheetViews>
    <sheetView workbookViewId="0">
      <selection activeCell="I13" sqref="I13"/>
    </sheetView>
  </sheetViews>
  <sheetFormatPr defaultColWidth="10" defaultRowHeight="14.5" x14ac:dyDescent="0.35"/>
  <cols>
    <col min="1" max="1" width="31" style="279" bestFit="1" customWidth="1"/>
    <col min="2" max="2" width="69.1796875" style="279" bestFit="1" customWidth="1"/>
    <col min="3" max="3" width="10" style="272"/>
    <col min="4" max="4" width="0" style="272" hidden="1" customWidth="1"/>
    <col min="5" max="16384" width="10" style="272"/>
  </cols>
  <sheetData>
    <row r="1" spans="1:3" ht="40" customHeight="1" x14ac:dyDescent="0.35">
      <c r="A1" s="507" t="s">
        <v>1218</v>
      </c>
      <c r="B1" s="509"/>
      <c r="C1" s="313"/>
    </row>
    <row r="2" spans="1:3" x14ac:dyDescent="0.35">
      <c r="A2" s="314" t="s">
        <v>5</v>
      </c>
      <c r="B2" s="314" t="s">
        <v>917</v>
      </c>
      <c r="C2" s="315"/>
    </row>
    <row r="3" spans="1:3" x14ac:dyDescent="0.35">
      <c r="A3" s="270" t="s">
        <v>918</v>
      </c>
      <c r="B3" s="273" t="s">
        <v>919</v>
      </c>
      <c r="C3" s="271"/>
    </row>
    <row r="4" spans="1:3" ht="39.5" x14ac:dyDescent="0.35">
      <c r="A4" s="270" t="s">
        <v>920</v>
      </c>
      <c r="B4" s="274" t="s">
        <v>921</v>
      </c>
      <c r="C4" s="271"/>
    </row>
    <row r="5" spans="1:3" x14ac:dyDescent="0.35">
      <c r="A5" s="270" t="s">
        <v>922</v>
      </c>
      <c r="B5" s="275" t="s">
        <v>624</v>
      </c>
      <c r="C5" s="271"/>
    </row>
    <row r="6" spans="1:3" x14ac:dyDescent="0.35">
      <c r="A6" s="270" t="s">
        <v>923</v>
      </c>
      <c r="B6" s="275" t="s">
        <v>924</v>
      </c>
      <c r="C6" s="271"/>
    </row>
    <row r="7" spans="1:3" x14ac:dyDescent="0.35">
      <c r="A7" s="270" t="s">
        <v>925</v>
      </c>
      <c r="B7" s="275" t="s">
        <v>532</v>
      </c>
      <c r="C7" s="271"/>
    </row>
    <row r="8" spans="1:3" x14ac:dyDescent="0.35">
      <c r="A8" s="270" t="s">
        <v>926</v>
      </c>
      <c r="B8" s="275" t="s">
        <v>532</v>
      </c>
      <c r="C8" s="271"/>
    </row>
    <row r="9" spans="1:3" x14ac:dyDescent="0.35">
      <c r="A9" s="270" t="s">
        <v>927</v>
      </c>
      <c r="B9" s="275" t="s">
        <v>532</v>
      </c>
      <c r="C9" s="271"/>
    </row>
    <row r="10" spans="1:3" x14ac:dyDescent="0.35">
      <c r="A10" s="270" t="s">
        <v>928</v>
      </c>
      <c r="B10" s="275" t="s">
        <v>929</v>
      </c>
      <c r="C10" s="271"/>
    </row>
    <row r="11" spans="1:3" x14ac:dyDescent="0.35">
      <c r="A11" s="270" t="s">
        <v>930</v>
      </c>
      <c r="B11" s="275" t="s">
        <v>931</v>
      </c>
      <c r="C11" s="271"/>
    </row>
    <row r="12" spans="1:3" x14ac:dyDescent="0.35">
      <c r="A12" s="270" t="s">
        <v>932</v>
      </c>
      <c r="B12" s="275" t="s">
        <v>933</v>
      </c>
      <c r="C12" s="271"/>
    </row>
    <row r="13" spans="1:3" x14ac:dyDescent="0.35">
      <c r="A13" s="270" t="s">
        <v>934</v>
      </c>
      <c r="B13" s="275" t="s">
        <v>935</v>
      </c>
      <c r="C13" s="271"/>
    </row>
    <row r="14" spans="1:3" x14ac:dyDescent="0.35">
      <c r="A14" s="270" t="s">
        <v>936</v>
      </c>
      <c r="B14" s="275" t="s">
        <v>937</v>
      </c>
      <c r="C14" s="271"/>
    </row>
    <row r="15" spans="1:3" x14ac:dyDescent="0.35">
      <c r="A15" s="270" t="s">
        <v>938</v>
      </c>
      <c r="B15" s="275" t="s">
        <v>939</v>
      </c>
      <c r="C15" s="271"/>
    </row>
    <row r="16" spans="1:3" x14ac:dyDescent="0.35">
      <c r="A16" s="270" t="s">
        <v>532</v>
      </c>
      <c r="B16" s="276" t="s">
        <v>532</v>
      </c>
      <c r="C16" s="271"/>
    </row>
    <row r="17" spans="1:3" x14ac:dyDescent="0.35">
      <c r="A17" s="270" t="s">
        <v>940</v>
      </c>
      <c r="B17" s="277" t="s">
        <v>941</v>
      </c>
      <c r="C17" s="271"/>
    </row>
    <row r="18" spans="1:3" x14ac:dyDescent="0.35">
      <c r="A18" s="270" t="s">
        <v>942</v>
      </c>
      <c r="B18" s="277" t="s">
        <v>943</v>
      </c>
      <c r="C18" s="271"/>
    </row>
    <row r="19" spans="1:3" x14ac:dyDescent="0.35">
      <c r="A19" s="270" t="s">
        <v>944</v>
      </c>
      <c r="B19" s="277" t="s">
        <v>943</v>
      </c>
      <c r="C19" s="271"/>
    </row>
    <row r="20" spans="1:3" x14ac:dyDescent="0.35">
      <c r="A20" s="270" t="s">
        <v>945</v>
      </c>
      <c r="B20" s="277" t="s">
        <v>946</v>
      </c>
      <c r="C20" s="271"/>
    </row>
    <row r="21" spans="1:3" x14ac:dyDescent="0.35">
      <c r="A21" s="270" t="s">
        <v>947</v>
      </c>
      <c r="B21" s="277" t="s">
        <v>943</v>
      </c>
      <c r="C21" s="271"/>
    </row>
    <row r="22" spans="1:3" x14ac:dyDescent="0.35">
      <c r="A22" s="270" t="s">
        <v>948</v>
      </c>
      <c r="B22" s="277" t="s">
        <v>943</v>
      </c>
      <c r="C22" s="271"/>
    </row>
    <row r="23" spans="1:3" x14ac:dyDescent="0.35">
      <c r="A23" s="270" t="s">
        <v>949</v>
      </c>
      <c r="B23" s="277" t="s">
        <v>946</v>
      </c>
      <c r="C23" s="271"/>
    </row>
    <row r="24" spans="1:3" x14ac:dyDescent="0.35">
      <c r="A24" s="270" t="s">
        <v>950</v>
      </c>
      <c r="B24" s="277" t="s">
        <v>951</v>
      </c>
      <c r="C24" s="271"/>
    </row>
    <row r="25" spans="1:3" x14ac:dyDescent="0.35">
      <c r="A25" s="270" t="s">
        <v>952</v>
      </c>
      <c r="B25" s="277" t="s">
        <v>943</v>
      </c>
      <c r="C25" s="271"/>
    </row>
    <row r="26" spans="1:3" x14ac:dyDescent="0.35">
      <c r="A26" s="270" t="s">
        <v>953</v>
      </c>
      <c r="B26" s="277" t="s">
        <v>946</v>
      </c>
      <c r="C26" s="271"/>
    </row>
    <row r="27" spans="1:3" x14ac:dyDescent="0.35">
      <c r="A27" s="270" t="s">
        <v>954</v>
      </c>
      <c r="B27" s="277" t="s">
        <v>955</v>
      </c>
      <c r="C27" s="271"/>
    </row>
    <row r="28" spans="1:3" x14ac:dyDescent="0.35">
      <c r="A28" s="270" t="s">
        <v>956</v>
      </c>
      <c r="B28" s="277" t="s">
        <v>946</v>
      </c>
      <c r="C28" s="271"/>
    </row>
    <row r="29" spans="1:3" x14ac:dyDescent="0.35">
      <c r="A29" s="270" t="s">
        <v>957</v>
      </c>
      <c r="B29" s="277" t="s">
        <v>946</v>
      </c>
      <c r="C29" s="271"/>
    </row>
    <row r="30" spans="1:3" x14ac:dyDescent="0.35">
      <c r="A30" s="270" t="s">
        <v>958</v>
      </c>
      <c r="B30" s="277" t="s">
        <v>946</v>
      </c>
      <c r="C30" s="271"/>
    </row>
    <row r="31" spans="1:3" x14ac:dyDescent="0.35">
      <c r="A31" s="270" t="s">
        <v>959</v>
      </c>
      <c r="B31" s="277" t="s">
        <v>946</v>
      </c>
      <c r="C31" s="271"/>
    </row>
    <row r="32" spans="1:3" ht="24" x14ac:dyDescent="0.35">
      <c r="A32" s="278" t="s">
        <v>960</v>
      </c>
      <c r="B32" s="277" t="s">
        <v>961</v>
      </c>
      <c r="C32" s="271"/>
    </row>
    <row r="33" spans="1:3" x14ac:dyDescent="0.35">
      <c r="A33" s="270" t="s">
        <v>962</v>
      </c>
      <c r="B33" s="277" t="s">
        <v>204</v>
      </c>
      <c r="C33" s="271"/>
    </row>
    <row r="34" spans="1:3" x14ac:dyDescent="0.35">
      <c r="A34" s="279" t="s">
        <v>963</v>
      </c>
      <c r="B34" s="279">
        <v>5</v>
      </c>
    </row>
    <row r="35" spans="1:3" x14ac:dyDescent="0.35">
      <c r="A35" s="279" t="s">
        <v>964</v>
      </c>
      <c r="B35" s="279">
        <v>10</v>
      </c>
    </row>
  </sheetData>
  <sheetProtection algorithmName="SHA-512" hashValue="rBWk42e8lQTKLqc1Km830XNWD7/EZ/pUzL/AMQoejj6mTS1CgNz/XByJPOFqEE63pkQno6rHgdFUpN6yz9UBPA==" saltValue="aIGgn7yWUa4q7NSnfLFrPw==" spinCount="100000" sheet="1" objects="1" scenarios="1" selectLockedCells="1" selectUnlockedCells="1"/>
  <mergeCells count="1">
    <mergeCell ref="A1:B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EB84-DAFC-422A-AD78-FA015CC44F10}">
  <dimension ref="A1:K317"/>
  <sheetViews>
    <sheetView topLeftCell="A244" zoomScaleNormal="100" workbookViewId="0">
      <selection activeCell="F252" sqref="F252"/>
    </sheetView>
  </sheetViews>
  <sheetFormatPr defaultRowHeight="14.5" x14ac:dyDescent="0.35"/>
  <cols>
    <col min="1" max="1" width="54.6328125" style="269" customWidth="1"/>
    <col min="2" max="2" width="4.36328125" style="258" bestFit="1" customWidth="1"/>
    <col min="3" max="3" width="8.54296875" style="248" bestFit="1" customWidth="1"/>
    <col min="4" max="4" width="9.6328125" style="248" bestFit="1" customWidth="1"/>
    <col min="5" max="5" width="14.6328125" style="248" bestFit="1" customWidth="1"/>
    <col min="6" max="6" width="8.54296875" style="248" bestFit="1" customWidth="1"/>
    <col min="7" max="7" width="13.7265625" style="248" bestFit="1" customWidth="1"/>
    <col min="8" max="8" width="12.453125" style="248" bestFit="1" customWidth="1"/>
    <col min="9" max="10" width="8.7265625" style="247"/>
    <col min="11" max="11" width="12" style="247" hidden="1" customWidth="1"/>
    <col min="12" max="16384" width="8.7265625" style="247"/>
  </cols>
  <sheetData>
    <row r="1" spans="1:11" ht="41" customHeight="1" x14ac:dyDescent="0.35">
      <c r="A1" s="507" t="s">
        <v>1219</v>
      </c>
      <c r="B1" s="508"/>
      <c r="C1" s="508"/>
      <c r="D1" s="508"/>
      <c r="E1" s="508"/>
      <c r="F1" s="508"/>
      <c r="G1" s="508"/>
      <c r="H1" s="509"/>
    </row>
    <row r="2" spans="1:11" x14ac:dyDescent="0.35">
      <c r="A2" s="316" t="s">
        <v>5</v>
      </c>
      <c r="B2" s="310" t="s">
        <v>672</v>
      </c>
      <c r="C2" s="311" t="s">
        <v>673</v>
      </c>
      <c r="D2" s="311" t="s">
        <v>665</v>
      </c>
      <c r="E2" s="311" t="s">
        <v>674</v>
      </c>
      <c r="F2" s="311" t="s">
        <v>30</v>
      </c>
      <c r="G2" s="311" t="s">
        <v>675</v>
      </c>
      <c r="H2" s="311" t="s">
        <v>1</v>
      </c>
      <c r="I2" s="246"/>
      <c r="J2" s="246"/>
      <c r="K2" s="247">
        <f>'D.1.4.2 ELE+SLP Parametry'!B34/100*E23+'D.1.4.2 ELE+SLP Parametry'!B35/100*E26+'D.1.4.2 ELE+SLP Parametry'!B34/100*E29+'D.1.4.2 ELE+SLP Parametry'!B34/100*E30+'D.1.4.2 ELE+SLP Parametry'!B34/100*E33+'D.1.4.2 ELE+SLP Parametry'!B34/100*E36+'D.1.4.2 ELE+SLP Parametry'!B34/100*E42+'D.1.4.2 ELE+SLP Parametry'!B34/100*E44+'D.1.4.2 ELE+SLP Parametry'!B34/100*E46+'D.1.4.2 ELE+SLP Parametry'!B34/100*E48+'D.1.4.2 ELE+SLP Parametry'!B34/100*E52+'D.1.4.2 ELE+SLP Parametry'!B34/100*E54+'D.1.4.2 ELE+SLP Parametry'!B34/100*E56+'D.1.4.2 ELE+SLP Parametry'!B34/100*E58+'D.1.4.2 ELE+SLP Parametry'!B34/100*E60+'D.1.4.2 ELE+SLP Parametry'!B34/100*E64+'D.1.4.2 ELE+SLP Parametry'!B34/100*E66+'D.1.4.2 ELE+SLP Parametry'!B34/100*E70+'D.1.4.2 ELE+SLP Parametry'!B34/100*E74+'D.1.4.2 ELE+SLP Parametry'!B34/100*E81+'D.1.4.2 ELE+SLP Parametry'!B34/100*E82+'D.1.4.2 ELE+SLP Parametry'!B34/100*E83+'D.1.4.2 ELE+SLP Parametry'!B34/100*E84</f>
        <v>0</v>
      </c>
    </row>
    <row r="3" spans="1:11" x14ac:dyDescent="0.35">
      <c r="A3" s="259" t="s">
        <v>666</v>
      </c>
      <c r="B3" s="260" t="s">
        <v>532</v>
      </c>
      <c r="C3" s="261"/>
      <c r="D3" s="261"/>
      <c r="E3" s="261"/>
      <c r="F3" s="261"/>
      <c r="G3" s="261"/>
      <c r="H3" s="261"/>
      <c r="I3" s="246"/>
      <c r="J3" s="246"/>
      <c r="K3" s="247">
        <f>K2+'D.1.4.2 ELE+SLP Parametry'!B34/100*E86+'D.1.4.2 ELE+SLP Parametry'!B34/100*E87+'D.1.4.2 ELE+SLP Parametry'!B34/100*E88+'D.1.4.2 ELE+SLP Parametry'!B34/100*E89+'D.1.4.2 ELE+SLP Parametry'!B34/100*E90+'D.1.4.2 ELE+SLP Parametry'!B34/100*E91+'D.1.4.2 ELE+SLP Parametry'!B35/100*E94+'D.1.4.2 ELE+SLP Parametry'!B35/100*E95+'D.1.4.2 ELE+SLP Parametry'!B34/100*E98+'D.1.4.2 ELE+SLP Parametry'!B34/100*E99+'D.1.4.2 ELE+SLP Parametry'!B34/100*E106+'D.1.4.2 ELE+SLP Parametry'!B34/100*E107+'D.1.4.2 ELE+SLP Parametry'!B34/100*E108+'D.1.4.2 ELE+SLP Parametry'!B34/100*E109+'D.1.4.2 ELE+SLP Parametry'!B34/100*E110+'D.1.4.2 ELE+SLP Parametry'!B34/100*E111+'D.1.4.2 ELE+SLP Parametry'!B34/100*E114+'D.1.4.2 ELE+SLP Parametry'!B34/100*E117+'D.1.4.2 ELE+SLP Parametry'!B34/100*E118+'D.1.4.2 ELE+SLP Parametry'!B34/100*E121+'D.1.4.2 ELE+SLP Parametry'!B34/100*E124+'D.1.4.2 ELE+SLP Parametry'!B34/100*E127</f>
        <v>0</v>
      </c>
    </row>
    <row r="4" spans="1:11" x14ac:dyDescent="0.35">
      <c r="A4" s="262" t="s">
        <v>676</v>
      </c>
      <c r="B4" s="251" t="s">
        <v>539</v>
      </c>
      <c r="C4" s="252">
        <v>1</v>
      </c>
      <c r="D4" s="346"/>
      <c r="E4" s="252">
        <f>C4*D4</f>
        <v>0</v>
      </c>
      <c r="F4" s="346"/>
      <c r="G4" s="252">
        <f>C4*F4</f>
        <v>0</v>
      </c>
      <c r="H4" s="252">
        <f>E4+G4</f>
        <v>0</v>
      </c>
      <c r="I4" s="246"/>
      <c r="J4" s="246"/>
      <c r="K4" s="247">
        <f>K3+'D.1.4.2 ELE+SLP Parametry'!B34/100*E128+'D.1.4.2 ELE+SLP Parametry'!B34/100*E132+'D.1.4.2 ELE+SLP Parametry'!B34/100*E136+'D.1.4.2 ELE+SLP Parametry'!B35/100*E139+'D.1.4.2 ELE+SLP Parametry'!B35/100*E142+'D.1.4.2 ELE+SLP Parametry'!B35/100*E145+'D.1.4.2 ELE+SLP Parametry'!B35/100*E148+'D.1.4.2 ELE+SLP Parametry'!B35/100*E151+'D.1.4.2 ELE+SLP Parametry'!B35/100*E154+'D.1.4.2 ELE+SLP Parametry'!B34/100*E159+'D.1.4.2 ELE+SLP Parametry'!B34/100*E160+'D.1.4.2 ELE+SLP Parametry'!B34/100*E161+'D.1.4.2 ELE+SLP Parametry'!B34/100*E162+'D.1.4.2 ELE+SLP Parametry'!B34/100*E163+'D.1.4.2 ELE+SLP Parametry'!B35/100*E166+'D.1.4.2 ELE+SLP Parametry'!B34/100*E169+'D.1.4.2 ELE+SLP Parametry'!B34/100*E170+'D.1.4.2 ELE+SLP Parametry'!B34/100*E173+'D.1.4.2 ELE+SLP Parametry'!B34/100*E176+'D.1.4.2 ELE+SLP Parametry'!B35/100*E179+'D.1.4.2 ELE+SLP Parametry'!B35/100*E180+'D.1.4.2 ELE+SLP Parametry'!B35/100*E181</f>
        <v>0</v>
      </c>
    </row>
    <row r="5" spans="1:11" x14ac:dyDescent="0.35">
      <c r="A5" s="262" t="s">
        <v>677</v>
      </c>
      <c r="B5" s="251" t="s">
        <v>539</v>
      </c>
      <c r="C5" s="252">
        <v>1</v>
      </c>
      <c r="D5" s="346"/>
      <c r="E5" s="252">
        <f>C5*D5</f>
        <v>0</v>
      </c>
      <c r="F5" s="346"/>
      <c r="G5" s="252">
        <f>C5*F5</f>
        <v>0</v>
      </c>
      <c r="H5" s="252">
        <f>E5+G5</f>
        <v>0</v>
      </c>
      <c r="I5" s="246"/>
      <c r="J5" s="246"/>
      <c r="K5" s="247">
        <f>K4+'D.1.4.2 ELE+SLP Parametry'!B35/100*E182+'D.1.4.2 ELE+SLP Parametry'!B34/100*E185+'D.1.4.2 ELE+SLP Parametry'!B34/100*E186+'D.1.4.2 ELE+SLP Parametry'!B34/100*E187+'D.1.4.2 ELE+SLP Parametry'!B34/100*E188+'D.1.4.2 ELE+SLP Parametry'!B35/100*E191+'D.1.4.2 ELE+SLP Parametry'!B35/100*E192+'D.1.4.2 ELE+SLP Parametry'!B35/100*E193+'D.1.4.2 ELE+SLP Parametry'!B35/100*E194+'D.1.4.2 ELE+SLP Parametry'!B35/100*E197+'D.1.4.2 ELE+SLP Parametry'!B34/100*E198+'D.1.4.2 ELE+SLP Parametry'!B34/100*E202+'D.1.4.2 ELE+SLP Parametry'!B34/100*E206+'D.1.4.2 ELE+SLP Parametry'!B34/100*E207+'D.1.4.2 ELE+SLP Parametry'!B34/100*E211+'D.1.4.2 ELE+SLP Parametry'!B34/100*E214+'D.1.4.2 ELE+SLP Parametry'!B35/100*E215+'D.1.4.2 ELE+SLP Parametry'!B34/100*E218+'D.1.4.2 ELE+SLP Parametry'!B34/100*E222+'D.1.4.2 ELE+SLP Parametry'!B34/100*E225+'D.1.4.2 ELE+SLP Parametry'!B35/100*E228+'D.1.4.2 ELE+SLP Parametry'!B35/100*E231</f>
        <v>0</v>
      </c>
    </row>
    <row r="6" spans="1:11" x14ac:dyDescent="0.35">
      <c r="A6" s="262" t="s">
        <v>532</v>
      </c>
      <c r="B6" s="251" t="s">
        <v>532</v>
      </c>
      <c r="C6" s="252"/>
      <c r="D6" s="252"/>
      <c r="E6" s="252"/>
      <c r="F6" s="252"/>
      <c r="G6" s="252"/>
      <c r="H6" s="252">
        <f>E6+G6</f>
        <v>0</v>
      </c>
      <c r="I6" s="246"/>
      <c r="J6" s="246"/>
      <c r="K6" s="247">
        <f>K5+'D.1.4.2 ELE+SLP Parametry'!B35/100*E234+'D.1.4.2 ELE+SLP Parametry'!B35/100*E235+'D.1.4.2 ELE+SLP Parametry'!B35/100*E236+'D.1.4.2 ELE+SLP Parametry'!B35/100*E237+'D.1.4.2 ELE+SLP Parametry'!B35/100*E240+'D.1.4.2 ELE+SLP Parametry'!B35/100*E241+'D.1.4.2 ELE+SLP Parametry'!B35/100*E242+'D.1.4.2 ELE+SLP Parametry'!B35/100*E245+'D.1.4.2 ELE+SLP Parametry'!B35/100*E246+'D.1.4.2 ELE+SLP Parametry'!B35/100*E247+'D.1.4.2 ELE+SLP Parametry'!B34/100*E248+'D.1.4.2 ELE+SLP Parametry'!B34/100*E249+'D.1.4.2 ELE+SLP Parametry'!B35/100*E250+'D.1.4.2 ELE+SLP Parametry'!B35/100*E251+'D.1.4.2 ELE+SLP Parametry'!B35/100*E252+'D.1.4.2 ELE+SLP Parametry'!B35/100*E253+'D.1.4.2 ELE+SLP Parametry'!B35/100*E256+'D.1.4.2 ELE+SLP Parametry'!B35/100*E259+'D.1.4.2 ELE+SLP Parametry'!B35/100*E260+'D.1.4.2 ELE+SLP Parametry'!B35/100*E261+'D.1.4.2 ELE+SLP Parametry'!B35/100*E262+'D.1.4.2 ELE+SLP Parametry'!B35/100*E263</f>
        <v>0</v>
      </c>
    </row>
    <row r="7" spans="1:11" x14ac:dyDescent="0.35">
      <c r="A7" s="262" t="s">
        <v>678</v>
      </c>
      <c r="B7" s="251" t="s">
        <v>539</v>
      </c>
      <c r="C7" s="252">
        <v>1</v>
      </c>
      <c r="D7" s="346"/>
      <c r="E7" s="252">
        <f>C7*D7</f>
        <v>0</v>
      </c>
      <c r="F7" s="346"/>
      <c r="G7" s="252">
        <f>C7*F7</f>
        <v>0</v>
      </c>
      <c r="H7" s="252">
        <f>E7+G7</f>
        <v>0</v>
      </c>
      <c r="I7" s="246"/>
      <c r="J7" s="246"/>
    </row>
    <row r="8" spans="1:11" x14ac:dyDescent="0.35">
      <c r="A8" s="262" t="s">
        <v>532</v>
      </c>
      <c r="B8" s="251" t="s">
        <v>532</v>
      </c>
      <c r="C8" s="252"/>
      <c r="D8" s="252"/>
      <c r="E8" s="252"/>
      <c r="F8" s="252"/>
      <c r="G8" s="252"/>
      <c r="H8" s="252">
        <f>E8+G8</f>
        <v>0</v>
      </c>
      <c r="I8" s="246"/>
      <c r="J8" s="246"/>
    </row>
    <row r="9" spans="1:11" x14ac:dyDescent="0.35">
      <c r="A9" s="259" t="s">
        <v>679</v>
      </c>
      <c r="B9" s="260" t="s">
        <v>532</v>
      </c>
      <c r="C9" s="261"/>
      <c r="D9" s="261"/>
      <c r="E9" s="261">
        <f>SUM(E4:E8)</f>
        <v>0</v>
      </c>
      <c r="F9" s="261"/>
      <c r="G9" s="261">
        <f>SUM(G4:G8)</f>
        <v>0</v>
      </c>
      <c r="H9" s="261">
        <f>SUM(H4:H8)</f>
        <v>0</v>
      </c>
      <c r="I9" s="246"/>
      <c r="J9" s="246"/>
    </row>
    <row r="10" spans="1:11" x14ac:dyDescent="0.35">
      <c r="A10" s="262" t="s">
        <v>532</v>
      </c>
      <c r="B10" s="251" t="s">
        <v>532</v>
      </c>
      <c r="C10" s="252"/>
      <c r="D10" s="252"/>
      <c r="E10" s="252"/>
      <c r="F10" s="252"/>
      <c r="G10" s="252"/>
      <c r="H10" s="252">
        <f>E10+G10</f>
        <v>0</v>
      </c>
      <c r="I10" s="246"/>
      <c r="J10" s="246"/>
    </row>
    <row r="11" spans="1:11" x14ac:dyDescent="0.35">
      <c r="A11" s="263" t="s">
        <v>667</v>
      </c>
      <c r="B11" s="255" t="s">
        <v>532</v>
      </c>
      <c r="C11" s="256"/>
      <c r="D11" s="256"/>
      <c r="E11" s="256"/>
      <c r="F11" s="256"/>
      <c r="G11" s="256"/>
      <c r="H11" s="256"/>
      <c r="I11" s="246"/>
      <c r="J11" s="246"/>
    </row>
    <row r="12" spans="1:11" x14ac:dyDescent="0.35">
      <c r="A12" s="262" t="s">
        <v>532</v>
      </c>
      <c r="B12" s="251" t="s">
        <v>532</v>
      </c>
      <c r="C12" s="252"/>
      <c r="D12" s="252"/>
      <c r="E12" s="252"/>
      <c r="F12" s="252"/>
      <c r="G12" s="252"/>
      <c r="H12" s="252">
        <f t="shared" ref="H12:H19" si="0">E12+G12</f>
        <v>0</v>
      </c>
      <c r="I12" s="246"/>
      <c r="J12" s="246"/>
    </row>
    <row r="13" spans="1:11" x14ac:dyDescent="0.35">
      <c r="A13" s="262" t="s">
        <v>680</v>
      </c>
      <c r="B13" s="251" t="s">
        <v>532</v>
      </c>
      <c r="C13" s="252"/>
      <c r="D13" s="252"/>
      <c r="E13" s="252"/>
      <c r="F13" s="252"/>
      <c r="G13" s="252"/>
      <c r="H13" s="252">
        <f t="shared" si="0"/>
        <v>0</v>
      </c>
      <c r="I13" s="246"/>
      <c r="J13" s="246"/>
    </row>
    <row r="14" spans="1:11" x14ac:dyDescent="0.35">
      <c r="A14" s="262" t="s">
        <v>681</v>
      </c>
      <c r="B14" s="251" t="s">
        <v>532</v>
      </c>
      <c r="C14" s="252"/>
      <c r="D14" s="252"/>
      <c r="E14" s="252"/>
      <c r="F14" s="252"/>
      <c r="G14" s="252"/>
      <c r="H14" s="252">
        <f t="shared" si="0"/>
        <v>0</v>
      </c>
      <c r="I14" s="246"/>
      <c r="J14" s="246"/>
    </row>
    <row r="15" spans="1:11" x14ac:dyDescent="0.35">
      <c r="A15" s="262" t="s">
        <v>682</v>
      </c>
      <c r="B15" s="251" t="s">
        <v>532</v>
      </c>
      <c r="C15" s="252"/>
      <c r="D15" s="252"/>
      <c r="E15" s="252"/>
      <c r="F15" s="252"/>
      <c r="G15" s="252"/>
      <c r="H15" s="252">
        <f t="shared" si="0"/>
        <v>0</v>
      </c>
      <c r="I15" s="246"/>
      <c r="J15" s="246"/>
    </row>
    <row r="16" spans="1:11" x14ac:dyDescent="0.35">
      <c r="A16" s="262" t="s">
        <v>683</v>
      </c>
      <c r="B16" s="251" t="s">
        <v>532</v>
      </c>
      <c r="C16" s="252"/>
      <c r="D16" s="252"/>
      <c r="E16" s="252"/>
      <c r="F16" s="252"/>
      <c r="G16" s="252"/>
      <c r="H16" s="252">
        <f t="shared" si="0"/>
        <v>0</v>
      </c>
      <c r="I16" s="246"/>
      <c r="J16" s="246"/>
    </row>
    <row r="17" spans="1:10" x14ac:dyDescent="0.35">
      <c r="A17" s="262" t="s">
        <v>684</v>
      </c>
      <c r="B17" s="251" t="s">
        <v>532</v>
      </c>
      <c r="C17" s="252"/>
      <c r="D17" s="252"/>
      <c r="E17" s="252"/>
      <c r="F17" s="252"/>
      <c r="G17" s="252"/>
      <c r="H17" s="252">
        <f t="shared" si="0"/>
        <v>0</v>
      </c>
      <c r="I17" s="246"/>
      <c r="J17" s="246"/>
    </row>
    <row r="18" spans="1:10" x14ac:dyDescent="0.35">
      <c r="A18" s="262" t="s">
        <v>685</v>
      </c>
      <c r="B18" s="251" t="s">
        <v>532</v>
      </c>
      <c r="C18" s="252"/>
      <c r="D18" s="252"/>
      <c r="E18" s="252"/>
      <c r="F18" s="252"/>
      <c r="G18" s="252"/>
      <c r="H18" s="252">
        <f t="shared" si="0"/>
        <v>0</v>
      </c>
      <c r="I18" s="246"/>
      <c r="J18" s="246"/>
    </row>
    <row r="19" spans="1:10" x14ac:dyDescent="0.35">
      <c r="A19" s="262" t="s">
        <v>532</v>
      </c>
      <c r="B19" s="251" t="s">
        <v>532</v>
      </c>
      <c r="C19" s="252"/>
      <c r="D19" s="252"/>
      <c r="E19" s="252"/>
      <c r="F19" s="252"/>
      <c r="G19" s="252"/>
      <c r="H19" s="252">
        <f t="shared" si="0"/>
        <v>0</v>
      </c>
      <c r="I19" s="246"/>
      <c r="J19" s="246"/>
    </row>
    <row r="20" spans="1:10" x14ac:dyDescent="0.35">
      <c r="A20" s="264" t="s">
        <v>686</v>
      </c>
      <c r="B20" s="249" t="s">
        <v>532</v>
      </c>
      <c r="C20" s="250"/>
      <c r="D20" s="250"/>
      <c r="E20" s="250"/>
      <c r="F20" s="250"/>
      <c r="G20" s="250"/>
      <c r="H20" s="250"/>
      <c r="I20" s="246"/>
      <c r="J20" s="246"/>
    </row>
    <row r="21" spans="1:10" x14ac:dyDescent="0.35">
      <c r="A21" s="262" t="s">
        <v>532</v>
      </c>
      <c r="B21" s="251" t="s">
        <v>532</v>
      </c>
      <c r="C21" s="252"/>
      <c r="D21" s="252"/>
      <c r="E21" s="252"/>
      <c r="F21" s="252"/>
      <c r="G21" s="252"/>
      <c r="H21" s="252">
        <f>E21+G21</f>
        <v>0</v>
      </c>
      <c r="I21" s="246"/>
      <c r="J21" s="246"/>
    </row>
    <row r="22" spans="1:10" x14ac:dyDescent="0.35">
      <c r="A22" s="265" t="s">
        <v>687</v>
      </c>
      <c r="B22" s="266" t="s">
        <v>532</v>
      </c>
      <c r="C22" s="267"/>
      <c r="D22" s="267"/>
      <c r="E22" s="267"/>
      <c r="F22" s="267"/>
      <c r="G22" s="267"/>
      <c r="H22" s="267">
        <f>E22+G22</f>
        <v>0</v>
      </c>
      <c r="I22" s="246"/>
      <c r="J22" s="246"/>
    </row>
    <row r="23" spans="1:10" x14ac:dyDescent="0.35">
      <c r="A23" s="262" t="s">
        <v>688</v>
      </c>
      <c r="B23" s="251" t="s">
        <v>539</v>
      </c>
      <c r="C23" s="252">
        <v>1</v>
      </c>
      <c r="D23" s="346"/>
      <c r="E23" s="252">
        <f>C23*D23</f>
        <v>0</v>
      </c>
      <c r="F23" s="346"/>
      <c r="G23" s="252">
        <f>C23*F23</f>
        <v>0</v>
      </c>
      <c r="H23" s="252">
        <f>E23+G23</f>
        <v>0</v>
      </c>
      <c r="I23" s="246"/>
      <c r="J23" s="246"/>
    </row>
    <row r="24" spans="1:10" x14ac:dyDescent="0.35">
      <c r="A24" s="262" t="s">
        <v>532</v>
      </c>
      <c r="B24" s="251" t="s">
        <v>532</v>
      </c>
      <c r="C24" s="252"/>
      <c r="D24" s="252"/>
      <c r="E24" s="252"/>
      <c r="F24" s="252"/>
      <c r="G24" s="252"/>
      <c r="H24" s="252">
        <f>E24+G24</f>
        <v>0</v>
      </c>
      <c r="I24" s="246"/>
      <c r="J24" s="246"/>
    </row>
    <row r="25" spans="1:10" x14ac:dyDescent="0.35">
      <c r="A25" s="265" t="s">
        <v>689</v>
      </c>
      <c r="B25" s="266" t="s">
        <v>532</v>
      </c>
      <c r="C25" s="267"/>
      <c r="D25" s="267"/>
      <c r="E25" s="267"/>
      <c r="F25" s="267"/>
      <c r="G25" s="267"/>
      <c r="H25" s="267"/>
      <c r="I25" s="246"/>
      <c r="J25" s="246"/>
    </row>
    <row r="26" spans="1:10" x14ac:dyDescent="0.35">
      <c r="A26" s="262" t="s">
        <v>690</v>
      </c>
      <c r="B26" s="251" t="s">
        <v>207</v>
      </c>
      <c r="C26" s="252">
        <v>1</v>
      </c>
      <c r="D26" s="346"/>
      <c r="E26" s="252">
        <f>C26*D26</f>
        <v>0</v>
      </c>
      <c r="F26" s="346"/>
      <c r="G26" s="252">
        <f>C26*F26</f>
        <v>0</v>
      </c>
      <c r="H26" s="252">
        <f>E26+G26</f>
        <v>0</v>
      </c>
      <c r="I26" s="246"/>
      <c r="J26" s="246"/>
    </row>
    <row r="27" spans="1:10" x14ac:dyDescent="0.35">
      <c r="A27" s="262" t="s">
        <v>532</v>
      </c>
      <c r="B27" s="251" t="s">
        <v>532</v>
      </c>
      <c r="C27" s="252"/>
      <c r="D27" s="252"/>
      <c r="E27" s="252"/>
      <c r="F27" s="252"/>
      <c r="G27" s="252"/>
      <c r="H27" s="252">
        <f>E27+G27</f>
        <v>0</v>
      </c>
      <c r="I27" s="246"/>
      <c r="J27" s="246"/>
    </row>
    <row r="28" spans="1:10" x14ac:dyDescent="0.35">
      <c r="A28" s="265" t="s">
        <v>691</v>
      </c>
      <c r="B28" s="266" t="s">
        <v>532</v>
      </c>
      <c r="C28" s="267"/>
      <c r="D28" s="267"/>
      <c r="E28" s="267"/>
      <c r="F28" s="267"/>
      <c r="G28" s="267"/>
      <c r="H28" s="267"/>
      <c r="I28" s="246"/>
      <c r="J28" s="246"/>
    </row>
    <row r="29" spans="1:10" x14ac:dyDescent="0.35">
      <c r="A29" s="262" t="s">
        <v>692</v>
      </c>
      <c r="B29" s="251" t="s">
        <v>693</v>
      </c>
      <c r="C29" s="252">
        <v>1</v>
      </c>
      <c r="D29" s="252">
        <v>0</v>
      </c>
      <c r="E29" s="252">
        <f>C29*D29</f>
        <v>0</v>
      </c>
      <c r="F29" s="346"/>
      <c r="G29" s="252">
        <f>C29*F29</f>
        <v>0</v>
      </c>
      <c r="H29" s="252">
        <f>E29+G29</f>
        <v>0</v>
      </c>
      <c r="I29" s="246"/>
      <c r="J29" s="246"/>
    </row>
    <row r="30" spans="1:10" x14ac:dyDescent="0.35">
      <c r="A30" s="262" t="s">
        <v>694</v>
      </c>
      <c r="B30" s="251" t="s">
        <v>693</v>
      </c>
      <c r="C30" s="252">
        <v>2</v>
      </c>
      <c r="D30" s="252">
        <v>0</v>
      </c>
      <c r="E30" s="252">
        <f>C30*D30</f>
        <v>0</v>
      </c>
      <c r="F30" s="346"/>
      <c r="G30" s="252">
        <f>C30*F30</f>
        <v>0</v>
      </c>
      <c r="H30" s="252">
        <f>E30+G30</f>
        <v>0</v>
      </c>
      <c r="I30" s="246"/>
      <c r="J30" s="246"/>
    </row>
    <row r="31" spans="1:10" x14ac:dyDescent="0.35">
      <c r="A31" s="262" t="s">
        <v>532</v>
      </c>
      <c r="B31" s="251" t="s">
        <v>532</v>
      </c>
      <c r="C31" s="252"/>
      <c r="D31" s="252"/>
      <c r="E31" s="252"/>
      <c r="F31" s="252"/>
      <c r="G31" s="252"/>
      <c r="H31" s="252">
        <f>E31+G31</f>
        <v>0</v>
      </c>
      <c r="I31" s="246"/>
      <c r="J31" s="246"/>
    </row>
    <row r="32" spans="1:10" x14ac:dyDescent="0.35">
      <c r="A32" s="265" t="s">
        <v>695</v>
      </c>
      <c r="B32" s="266" t="s">
        <v>532</v>
      </c>
      <c r="C32" s="267"/>
      <c r="D32" s="267"/>
      <c r="E32" s="267"/>
      <c r="F32" s="267"/>
      <c r="G32" s="267"/>
      <c r="H32" s="267"/>
      <c r="I32" s="246"/>
      <c r="J32" s="246"/>
    </row>
    <row r="33" spans="1:10" ht="24" x14ac:dyDescent="0.35">
      <c r="A33" s="262" t="s">
        <v>696</v>
      </c>
      <c r="B33" s="251" t="s">
        <v>697</v>
      </c>
      <c r="C33" s="252">
        <v>1</v>
      </c>
      <c r="D33" s="346"/>
      <c r="E33" s="252">
        <f>C33*D33</f>
        <v>0</v>
      </c>
      <c r="F33" s="346"/>
      <c r="G33" s="252">
        <f>C33*F33</f>
        <v>0</v>
      </c>
      <c r="H33" s="252">
        <f>E33+G33</f>
        <v>0</v>
      </c>
      <c r="I33" s="246"/>
      <c r="J33" s="246"/>
    </row>
    <row r="34" spans="1:10" x14ac:dyDescent="0.35">
      <c r="A34" s="262" t="s">
        <v>532</v>
      </c>
      <c r="B34" s="251" t="s">
        <v>532</v>
      </c>
      <c r="C34" s="252"/>
      <c r="D34" s="252"/>
      <c r="E34" s="252"/>
      <c r="F34" s="252"/>
      <c r="G34" s="252"/>
      <c r="H34" s="252">
        <f>E34+G34</f>
        <v>0</v>
      </c>
      <c r="I34" s="246"/>
      <c r="J34" s="246"/>
    </row>
    <row r="35" spans="1:10" x14ac:dyDescent="0.35">
      <c r="A35" s="265" t="s">
        <v>698</v>
      </c>
      <c r="B35" s="266" t="s">
        <v>532</v>
      </c>
      <c r="C35" s="267"/>
      <c r="D35" s="267"/>
      <c r="E35" s="267"/>
      <c r="F35" s="267"/>
      <c r="G35" s="267"/>
      <c r="H35" s="267"/>
      <c r="I35" s="246"/>
      <c r="J35" s="246"/>
    </row>
    <row r="36" spans="1:10" ht="24" x14ac:dyDescent="0.35">
      <c r="A36" s="262" t="s">
        <v>699</v>
      </c>
      <c r="B36" s="251" t="s">
        <v>207</v>
      </c>
      <c r="C36" s="252">
        <v>1</v>
      </c>
      <c r="D36" s="346"/>
      <c r="E36" s="252">
        <f>C36*D36</f>
        <v>0</v>
      </c>
      <c r="F36" s="252">
        <v>0</v>
      </c>
      <c r="G36" s="252">
        <f>C36*F36</f>
        <v>0</v>
      </c>
      <c r="H36" s="252">
        <f>E36+G36</f>
        <v>0</v>
      </c>
      <c r="I36" s="246"/>
      <c r="J36" s="246"/>
    </row>
    <row r="37" spans="1:10" x14ac:dyDescent="0.35">
      <c r="A37" s="262" t="s">
        <v>532</v>
      </c>
      <c r="B37" s="251" t="s">
        <v>532</v>
      </c>
      <c r="C37" s="252"/>
      <c r="D37" s="252"/>
      <c r="E37" s="252"/>
      <c r="F37" s="252"/>
      <c r="G37" s="252"/>
      <c r="H37" s="252">
        <f>E37+G37</f>
        <v>0</v>
      </c>
      <c r="I37" s="246"/>
      <c r="J37" s="246"/>
    </row>
    <row r="38" spans="1:10" x14ac:dyDescent="0.35">
      <c r="A38" s="264" t="s">
        <v>700</v>
      </c>
      <c r="B38" s="249" t="s">
        <v>532</v>
      </c>
      <c r="C38" s="250"/>
      <c r="D38" s="250"/>
      <c r="E38" s="250">
        <f>SUM(E21:E37)</f>
        <v>0</v>
      </c>
      <c r="F38" s="250"/>
      <c r="G38" s="250">
        <f>SUM(G21:G37)</f>
        <v>0</v>
      </c>
      <c r="H38" s="250">
        <f>SUM(H21:H37)</f>
        <v>0</v>
      </c>
      <c r="I38" s="246"/>
      <c r="J38" s="246"/>
    </row>
    <row r="39" spans="1:10" x14ac:dyDescent="0.35">
      <c r="A39" s="262" t="s">
        <v>532</v>
      </c>
      <c r="B39" s="251" t="s">
        <v>532</v>
      </c>
      <c r="C39" s="252"/>
      <c r="D39" s="252"/>
      <c r="E39" s="252"/>
      <c r="F39" s="252"/>
      <c r="G39" s="252"/>
      <c r="H39" s="252">
        <f>E39+G39</f>
        <v>0</v>
      </c>
      <c r="I39" s="246"/>
      <c r="J39" s="246"/>
    </row>
    <row r="40" spans="1:10" x14ac:dyDescent="0.35">
      <c r="A40" s="264" t="s">
        <v>701</v>
      </c>
      <c r="B40" s="249" t="s">
        <v>532</v>
      </c>
      <c r="C40" s="250"/>
      <c r="D40" s="250"/>
      <c r="E40" s="250"/>
      <c r="F40" s="250"/>
      <c r="G40" s="250"/>
      <c r="H40" s="250"/>
      <c r="I40" s="246"/>
      <c r="J40" s="246"/>
    </row>
    <row r="41" spans="1:10" x14ac:dyDescent="0.35">
      <c r="A41" s="265" t="s">
        <v>702</v>
      </c>
      <c r="B41" s="266" t="s">
        <v>532</v>
      </c>
      <c r="C41" s="267"/>
      <c r="D41" s="267"/>
      <c r="E41" s="267"/>
      <c r="F41" s="267"/>
      <c r="G41" s="267"/>
      <c r="H41" s="267"/>
      <c r="I41" s="246"/>
      <c r="J41" s="246"/>
    </row>
    <row r="42" spans="1:10" x14ac:dyDescent="0.35">
      <c r="A42" s="262" t="s">
        <v>703</v>
      </c>
      <c r="B42" s="251" t="s">
        <v>203</v>
      </c>
      <c r="C42" s="252">
        <v>30</v>
      </c>
      <c r="D42" s="346"/>
      <c r="E42" s="252">
        <f>C42*D42</f>
        <v>0</v>
      </c>
      <c r="F42" s="346"/>
      <c r="G42" s="252">
        <f>C42*F42</f>
        <v>0</v>
      </c>
      <c r="H42" s="252">
        <f t="shared" ref="H42:H50" si="1">E42+G42</f>
        <v>0</v>
      </c>
      <c r="I42" s="246"/>
      <c r="J42" s="246"/>
    </row>
    <row r="43" spans="1:10" x14ac:dyDescent="0.35">
      <c r="A43" s="262" t="s">
        <v>704</v>
      </c>
      <c r="B43" s="251" t="s">
        <v>532</v>
      </c>
      <c r="C43" s="252"/>
      <c r="D43" s="252"/>
      <c r="E43" s="252"/>
      <c r="F43" s="252"/>
      <c r="G43" s="252"/>
      <c r="H43" s="252">
        <f t="shared" si="1"/>
        <v>0</v>
      </c>
      <c r="I43" s="246"/>
      <c r="J43" s="246"/>
    </row>
    <row r="44" spans="1:10" x14ac:dyDescent="0.35">
      <c r="A44" s="262" t="s">
        <v>705</v>
      </c>
      <c r="B44" s="251" t="s">
        <v>203</v>
      </c>
      <c r="C44" s="252">
        <v>70</v>
      </c>
      <c r="D44" s="346"/>
      <c r="E44" s="252">
        <f>C44*D44</f>
        <v>0</v>
      </c>
      <c r="F44" s="346"/>
      <c r="G44" s="252">
        <f>C44*F44</f>
        <v>0</v>
      </c>
      <c r="H44" s="252">
        <f t="shared" si="1"/>
        <v>0</v>
      </c>
      <c r="I44" s="246"/>
      <c r="J44" s="246"/>
    </row>
    <row r="45" spans="1:10" x14ac:dyDescent="0.35">
      <c r="A45" s="262" t="s">
        <v>706</v>
      </c>
      <c r="B45" s="251" t="s">
        <v>532</v>
      </c>
      <c r="C45" s="252"/>
      <c r="D45" s="252"/>
      <c r="E45" s="252"/>
      <c r="F45" s="252"/>
      <c r="G45" s="252"/>
      <c r="H45" s="252">
        <f t="shared" si="1"/>
        <v>0</v>
      </c>
      <c r="I45" s="246"/>
      <c r="J45" s="246"/>
    </row>
    <row r="46" spans="1:10" x14ac:dyDescent="0.35">
      <c r="A46" s="262" t="s">
        <v>707</v>
      </c>
      <c r="B46" s="251" t="s">
        <v>203</v>
      </c>
      <c r="C46" s="252">
        <v>30</v>
      </c>
      <c r="D46" s="346"/>
      <c r="E46" s="252">
        <f>C46*D46</f>
        <v>0</v>
      </c>
      <c r="F46" s="346"/>
      <c r="G46" s="252">
        <f>C46*F46</f>
        <v>0</v>
      </c>
      <c r="H46" s="252">
        <f t="shared" si="1"/>
        <v>0</v>
      </c>
      <c r="I46" s="246"/>
      <c r="J46" s="246"/>
    </row>
    <row r="47" spans="1:10" x14ac:dyDescent="0.35">
      <c r="A47" s="262" t="s">
        <v>708</v>
      </c>
      <c r="B47" s="251" t="s">
        <v>532</v>
      </c>
      <c r="C47" s="252"/>
      <c r="D47" s="252"/>
      <c r="E47" s="252"/>
      <c r="F47" s="252"/>
      <c r="G47" s="252"/>
      <c r="H47" s="252">
        <f t="shared" si="1"/>
        <v>0</v>
      </c>
      <c r="I47" s="246"/>
      <c r="J47" s="246"/>
    </row>
    <row r="48" spans="1:10" x14ac:dyDescent="0.35">
      <c r="A48" s="262" t="s">
        <v>709</v>
      </c>
      <c r="B48" s="251" t="s">
        <v>203</v>
      </c>
      <c r="C48" s="252">
        <v>15</v>
      </c>
      <c r="D48" s="346"/>
      <c r="E48" s="252">
        <f>C48*D48</f>
        <v>0</v>
      </c>
      <c r="F48" s="346"/>
      <c r="G48" s="252">
        <f>C48*F48</f>
        <v>0</v>
      </c>
      <c r="H48" s="252">
        <f t="shared" si="1"/>
        <v>0</v>
      </c>
      <c r="I48" s="246"/>
      <c r="J48" s="246"/>
    </row>
    <row r="49" spans="1:10" x14ac:dyDescent="0.35">
      <c r="A49" s="262" t="s">
        <v>710</v>
      </c>
      <c r="B49" s="251" t="s">
        <v>532</v>
      </c>
      <c r="C49" s="252"/>
      <c r="D49" s="252"/>
      <c r="E49" s="252"/>
      <c r="F49" s="252"/>
      <c r="G49" s="252"/>
      <c r="H49" s="252">
        <f t="shared" si="1"/>
        <v>0</v>
      </c>
      <c r="I49" s="246"/>
      <c r="J49" s="246"/>
    </row>
    <row r="50" spans="1:10" x14ac:dyDescent="0.35">
      <c r="A50" s="262" t="s">
        <v>532</v>
      </c>
      <c r="B50" s="251" t="s">
        <v>532</v>
      </c>
      <c r="C50" s="252"/>
      <c r="D50" s="252"/>
      <c r="E50" s="252"/>
      <c r="F50" s="252"/>
      <c r="G50" s="252"/>
      <c r="H50" s="252">
        <f t="shared" si="1"/>
        <v>0</v>
      </c>
      <c r="I50" s="246"/>
      <c r="J50" s="246"/>
    </row>
    <row r="51" spans="1:10" x14ac:dyDescent="0.35">
      <c r="A51" s="265" t="s">
        <v>711</v>
      </c>
      <c r="B51" s="266" t="s">
        <v>532</v>
      </c>
      <c r="C51" s="267"/>
      <c r="D51" s="267"/>
      <c r="E51" s="267"/>
      <c r="F51" s="267"/>
      <c r="G51" s="267"/>
      <c r="H51" s="267"/>
      <c r="I51" s="246"/>
      <c r="J51" s="246"/>
    </row>
    <row r="52" spans="1:10" x14ac:dyDescent="0.35">
      <c r="A52" s="262" t="s">
        <v>712</v>
      </c>
      <c r="B52" s="251" t="s">
        <v>203</v>
      </c>
      <c r="C52" s="252">
        <v>480</v>
      </c>
      <c r="D52" s="346"/>
      <c r="E52" s="252">
        <f>C52*D52</f>
        <v>0</v>
      </c>
      <c r="F52" s="346"/>
      <c r="G52" s="252">
        <f>C52*F52</f>
        <v>0</v>
      </c>
      <c r="H52" s="252">
        <f t="shared" ref="H52:H62" si="2">E52+G52</f>
        <v>0</v>
      </c>
      <c r="I52" s="246"/>
      <c r="J52" s="246"/>
    </row>
    <row r="53" spans="1:10" x14ac:dyDescent="0.35">
      <c r="A53" s="262" t="s">
        <v>713</v>
      </c>
      <c r="B53" s="251" t="s">
        <v>532</v>
      </c>
      <c r="C53" s="252"/>
      <c r="D53" s="252"/>
      <c r="E53" s="252"/>
      <c r="F53" s="252"/>
      <c r="G53" s="252"/>
      <c r="H53" s="252">
        <f t="shared" si="2"/>
        <v>0</v>
      </c>
      <c r="I53" s="246"/>
      <c r="J53" s="246"/>
    </row>
    <row r="54" spans="1:10" x14ac:dyDescent="0.35">
      <c r="A54" s="262" t="s">
        <v>714</v>
      </c>
      <c r="B54" s="251" t="s">
        <v>203</v>
      </c>
      <c r="C54" s="252">
        <v>405</v>
      </c>
      <c r="D54" s="346"/>
      <c r="E54" s="252">
        <f>C54*D54</f>
        <v>0</v>
      </c>
      <c r="F54" s="346"/>
      <c r="G54" s="252">
        <f>C54*F54</f>
        <v>0</v>
      </c>
      <c r="H54" s="252">
        <f t="shared" si="2"/>
        <v>0</v>
      </c>
      <c r="I54" s="246"/>
      <c r="J54" s="246"/>
    </row>
    <row r="55" spans="1:10" x14ac:dyDescent="0.35">
      <c r="A55" s="262" t="s">
        <v>715</v>
      </c>
      <c r="B55" s="251" t="s">
        <v>532</v>
      </c>
      <c r="C55" s="252"/>
      <c r="D55" s="252"/>
      <c r="E55" s="252"/>
      <c r="F55" s="252"/>
      <c r="G55" s="252"/>
      <c r="H55" s="252">
        <f t="shared" si="2"/>
        <v>0</v>
      </c>
      <c r="I55" s="246"/>
      <c r="J55" s="246"/>
    </row>
    <row r="56" spans="1:10" x14ac:dyDescent="0.35">
      <c r="A56" s="262" t="s">
        <v>716</v>
      </c>
      <c r="B56" s="251" t="s">
        <v>203</v>
      </c>
      <c r="C56" s="252">
        <v>260</v>
      </c>
      <c r="D56" s="346"/>
      <c r="E56" s="252">
        <f>C56*D56</f>
        <v>0</v>
      </c>
      <c r="F56" s="346"/>
      <c r="G56" s="252">
        <f>C56*F56</f>
        <v>0</v>
      </c>
      <c r="H56" s="252">
        <f t="shared" si="2"/>
        <v>0</v>
      </c>
      <c r="I56" s="246"/>
      <c r="J56" s="246"/>
    </row>
    <row r="57" spans="1:10" x14ac:dyDescent="0.35">
      <c r="A57" s="262" t="s">
        <v>717</v>
      </c>
      <c r="B57" s="251" t="s">
        <v>532</v>
      </c>
      <c r="C57" s="252"/>
      <c r="D57" s="252"/>
      <c r="E57" s="252"/>
      <c r="F57" s="252"/>
      <c r="G57" s="252"/>
      <c r="H57" s="252">
        <f t="shared" si="2"/>
        <v>0</v>
      </c>
      <c r="I57" s="246"/>
      <c r="J57" s="246"/>
    </row>
    <row r="58" spans="1:10" x14ac:dyDescent="0.35">
      <c r="A58" s="262" t="s">
        <v>718</v>
      </c>
      <c r="B58" s="251" t="s">
        <v>203</v>
      </c>
      <c r="C58" s="252">
        <v>15</v>
      </c>
      <c r="D58" s="346"/>
      <c r="E58" s="252">
        <f>C58*D58</f>
        <v>0</v>
      </c>
      <c r="F58" s="346"/>
      <c r="G58" s="252">
        <f>C58*F58</f>
        <v>0</v>
      </c>
      <c r="H58" s="252">
        <f t="shared" si="2"/>
        <v>0</v>
      </c>
      <c r="I58" s="246"/>
      <c r="J58" s="246"/>
    </row>
    <row r="59" spans="1:10" x14ac:dyDescent="0.35">
      <c r="A59" s="262" t="s">
        <v>710</v>
      </c>
      <c r="B59" s="251" t="s">
        <v>532</v>
      </c>
      <c r="C59" s="252"/>
      <c r="D59" s="252"/>
      <c r="E59" s="252"/>
      <c r="F59" s="252"/>
      <c r="G59" s="252"/>
      <c r="H59" s="252">
        <f t="shared" si="2"/>
        <v>0</v>
      </c>
      <c r="I59" s="246"/>
      <c r="J59" s="246"/>
    </row>
    <row r="60" spans="1:10" x14ac:dyDescent="0.35">
      <c r="A60" s="262" t="s">
        <v>719</v>
      </c>
      <c r="B60" s="251" t="s">
        <v>203</v>
      </c>
      <c r="C60" s="252">
        <v>60</v>
      </c>
      <c r="D60" s="346"/>
      <c r="E60" s="252">
        <f>C60*D60</f>
        <v>0</v>
      </c>
      <c r="F60" s="346"/>
      <c r="G60" s="252">
        <f>C60*F60</f>
        <v>0</v>
      </c>
      <c r="H60" s="252">
        <f t="shared" si="2"/>
        <v>0</v>
      </c>
      <c r="I60" s="246"/>
      <c r="J60" s="246"/>
    </row>
    <row r="61" spans="1:10" x14ac:dyDescent="0.35">
      <c r="A61" s="262" t="s">
        <v>720</v>
      </c>
      <c r="B61" s="251" t="s">
        <v>532</v>
      </c>
      <c r="C61" s="252"/>
      <c r="D61" s="252"/>
      <c r="E61" s="252"/>
      <c r="F61" s="252"/>
      <c r="G61" s="252"/>
      <c r="H61" s="252">
        <f t="shared" si="2"/>
        <v>0</v>
      </c>
      <c r="I61" s="246"/>
      <c r="J61" s="246"/>
    </row>
    <row r="62" spans="1:10" x14ac:dyDescent="0.35">
      <c r="A62" s="262" t="s">
        <v>532</v>
      </c>
      <c r="B62" s="251" t="s">
        <v>532</v>
      </c>
      <c r="C62" s="252"/>
      <c r="D62" s="252"/>
      <c r="E62" s="252"/>
      <c r="F62" s="252"/>
      <c r="G62" s="252"/>
      <c r="H62" s="252">
        <f t="shared" si="2"/>
        <v>0</v>
      </c>
      <c r="I62" s="246"/>
      <c r="J62" s="246"/>
    </row>
    <row r="63" spans="1:10" x14ac:dyDescent="0.35">
      <c r="A63" s="265" t="s">
        <v>721</v>
      </c>
      <c r="B63" s="266" t="s">
        <v>532</v>
      </c>
      <c r="C63" s="267"/>
      <c r="D63" s="267"/>
      <c r="E63" s="267"/>
      <c r="F63" s="267"/>
      <c r="G63" s="267"/>
      <c r="H63" s="267"/>
      <c r="I63" s="246"/>
      <c r="J63" s="246"/>
    </row>
    <row r="64" spans="1:10" x14ac:dyDescent="0.35">
      <c r="A64" s="262" t="s">
        <v>722</v>
      </c>
      <c r="B64" s="251" t="s">
        <v>203</v>
      </c>
      <c r="C64" s="252">
        <v>5</v>
      </c>
      <c r="D64" s="346"/>
      <c r="E64" s="252">
        <f>C64*D64</f>
        <v>0</v>
      </c>
      <c r="F64" s="346"/>
      <c r="G64" s="252">
        <f>C64*F64</f>
        <v>0</v>
      </c>
      <c r="H64" s="252">
        <f>E64+G64</f>
        <v>0</v>
      </c>
      <c r="I64" s="246"/>
      <c r="J64" s="246"/>
    </row>
    <row r="65" spans="1:10" x14ac:dyDescent="0.35">
      <c r="A65" s="262" t="s">
        <v>723</v>
      </c>
      <c r="B65" s="251" t="s">
        <v>532</v>
      </c>
      <c r="C65" s="252"/>
      <c r="D65" s="252"/>
      <c r="E65" s="252"/>
      <c r="F65" s="252"/>
      <c r="G65" s="252"/>
      <c r="H65" s="252">
        <f>E65+G65</f>
        <v>0</v>
      </c>
      <c r="I65" s="246"/>
      <c r="J65" s="246"/>
    </row>
    <row r="66" spans="1:10" x14ac:dyDescent="0.35">
      <c r="A66" s="262" t="s">
        <v>724</v>
      </c>
      <c r="B66" s="251" t="s">
        <v>203</v>
      </c>
      <c r="C66" s="252">
        <v>20</v>
      </c>
      <c r="D66" s="346"/>
      <c r="E66" s="252">
        <f>C66*D66</f>
        <v>0</v>
      </c>
      <c r="F66" s="346"/>
      <c r="G66" s="252">
        <f>C66*F66</f>
        <v>0</v>
      </c>
      <c r="H66" s="252">
        <f>E66+G66</f>
        <v>0</v>
      </c>
      <c r="I66" s="246"/>
      <c r="J66" s="246"/>
    </row>
    <row r="67" spans="1:10" x14ac:dyDescent="0.35">
      <c r="A67" s="262" t="s">
        <v>725</v>
      </c>
      <c r="B67" s="251" t="s">
        <v>532</v>
      </c>
      <c r="C67" s="252"/>
      <c r="D67" s="252"/>
      <c r="E67" s="252"/>
      <c r="F67" s="252"/>
      <c r="G67" s="252"/>
      <c r="H67" s="252">
        <f>E67+G67</f>
        <v>0</v>
      </c>
      <c r="I67" s="246"/>
      <c r="J67" s="246"/>
    </row>
    <row r="68" spans="1:10" x14ac:dyDescent="0.35">
      <c r="A68" s="262" t="s">
        <v>532</v>
      </c>
      <c r="B68" s="251" t="s">
        <v>532</v>
      </c>
      <c r="C68" s="252"/>
      <c r="D68" s="252"/>
      <c r="E68" s="252"/>
      <c r="F68" s="252"/>
      <c r="G68" s="252"/>
      <c r="H68" s="252">
        <f>E68+G68</f>
        <v>0</v>
      </c>
      <c r="I68" s="246"/>
      <c r="J68" s="246"/>
    </row>
    <row r="69" spans="1:10" x14ac:dyDescent="0.35">
      <c r="A69" s="265" t="s">
        <v>726</v>
      </c>
      <c r="B69" s="266" t="s">
        <v>532</v>
      </c>
      <c r="C69" s="267"/>
      <c r="D69" s="267"/>
      <c r="E69" s="267"/>
      <c r="F69" s="267"/>
      <c r="G69" s="267"/>
      <c r="H69" s="267"/>
      <c r="I69" s="246"/>
      <c r="J69" s="246"/>
    </row>
    <row r="70" spans="1:10" x14ac:dyDescent="0.35">
      <c r="A70" s="262" t="s">
        <v>727</v>
      </c>
      <c r="B70" s="251" t="s">
        <v>203</v>
      </c>
      <c r="C70" s="252">
        <v>80</v>
      </c>
      <c r="D70" s="346"/>
      <c r="E70" s="252">
        <f>C70*D70</f>
        <v>0</v>
      </c>
      <c r="F70" s="346"/>
      <c r="G70" s="252">
        <f>C70*F70</f>
        <v>0</v>
      </c>
      <c r="H70" s="252">
        <f>E70+G70</f>
        <v>0</v>
      </c>
      <c r="I70" s="246"/>
      <c r="J70" s="246"/>
    </row>
    <row r="71" spans="1:10" x14ac:dyDescent="0.35">
      <c r="A71" s="262" t="s">
        <v>728</v>
      </c>
      <c r="B71" s="251" t="s">
        <v>532</v>
      </c>
      <c r="C71" s="252"/>
      <c r="D71" s="252"/>
      <c r="E71" s="252"/>
      <c r="F71" s="252"/>
      <c r="G71" s="252"/>
      <c r="H71" s="252">
        <f>E71+G71</f>
        <v>0</v>
      </c>
      <c r="I71" s="246"/>
      <c r="J71" s="246"/>
    </row>
    <row r="72" spans="1:10" x14ac:dyDescent="0.35">
      <c r="A72" s="262" t="s">
        <v>532</v>
      </c>
      <c r="B72" s="251" t="s">
        <v>532</v>
      </c>
      <c r="C72" s="252"/>
      <c r="D72" s="252"/>
      <c r="E72" s="252"/>
      <c r="F72" s="252"/>
      <c r="G72" s="252"/>
      <c r="H72" s="252">
        <f>E72+G72</f>
        <v>0</v>
      </c>
      <c r="I72" s="246"/>
      <c r="J72" s="246"/>
    </row>
    <row r="73" spans="1:10" x14ac:dyDescent="0.35">
      <c r="A73" s="265" t="s">
        <v>729</v>
      </c>
      <c r="B73" s="266" t="s">
        <v>532</v>
      </c>
      <c r="C73" s="267"/>
      <c r="D73" s="267"/>
      <c r="E73" s="267"/>
      <c r="F73" s="267"/>
      <c r="G73" s="267"/>
      <c r="H73" s="267"/>
      <c r="I73" s="246"/>
      <c r="J73" s="246"/>
    </row>
    <row r="74" spans="1:10" x14ac:dyDescent="0.35">
      <c r="A74" s="262" t="s">
        <v>730</v>
      </c>
      <c r="B74" s="251" t="s">
        <v>203</v>
      </c>
      <c r="C74" s="252">
        <v>60</v>
      </c>
      <c r="D74" s="346"/>
      <c r="E74" s="252">
        <f>C74*D74</f>
        <v>0</v>
      </c>
      <c r="F74" s="346"/>
      <c r="G74" s="252">
        <f>C74*F74</f>
        <v>0</v>
      </c>
      <c r="H74" s="252">
        <f>E74+G74</f>
        <v>0</v>
      </c>
      <c r="I74" s="246"/>
      <c r="J74" s="246"/>
    </row>
    <row r="75" spans="1:10" x14ac:dyDescent="0.35">
      <c r="A75" s="262" t="s">
        <v>731</v>
      </c>
      <c r="B75" s="251" t="s">
        <v>532</v>
      </c>
      <c r="C75" s="252"/>
      <c r="D75" s="252"/>
      <c r="E75" s="252"/>
      <c r="F75" s="252"/>
      <c r="G75" s="252"/>
      <c r="H75" s="252">
        <f>E75+G75</f>
        <v>0</v>
      </c>
      <c r="I75" s="246"/>
      <c r="J75" s="246"/>
    </row>
    <row r="76" spans="1:10" x14ac:dyDescent="0.35">
      <c r="A76" s="262" t="s">
        <v>532</v>
      </c>
      <c r="B76" s="251" t="s">
        <v>532</v>
      </c>
      <c r="C76" s="252"/>
      <c r="D76" s="252"/>
      <c r="E76" s="252"/>
      <c r="F76" s="252"/>
      <c r="G76" s="252"/>
      <c r="H76" s="252">
        <f>E76+G76</f>
        <v>0</v>
      </c>
      <c r="I76" s="246"/>
      <c r="J76" s="246"/>
    </row>
    <row r="77" spans="1:10" x14ac:dyDescent="0.35">
      <c r="A77" s="264" t="s">
        <v>732</v>
      </c>
      <c r="B77" s="249" t="s">
        <v>532</v>
      </c>
      <c r="C77" s="250"/>
      <c r="D77" s="250"/>
      <c r="E77" s="250">
        <f>SUM(E41:E76)</f>
        <v>0</v>
      </c>
      <c r="F77" s="250"/>
      <c r="G77" s="250">
        <f>SUM(G41:G76)</f>
        <v>0</v>
      </c>
      <c r="H77" s="250">
        <f>SUM(H41:H76)</f>
        <v>0</v>
      </c>
      <c r="I77" s="246"/>
      <c r="J77" s="246"/>
    </row>
    <row r="78" spans="1:10" x14ac:dyDescent="0.35">
      <c r="A78" s="262" t="s">
        <v>532</v>
      </c>
      <c r="B78" s="251" t="s">
        <v>532</v>
      </c>
      <c r="C78" s="252"/>
      <c r="D78" s="252"/>
      <c r="E78" s="252"/>
      <c r="F78" s="252"/>
      <c r="G78" s="252"/>
      <c r="H78" s="252">
        <f>E78+G78</f>
        <v>0</v>
      </c>
      <c r="I78" s="246"/>
      <c r="J78" s="246"/>
    </row>
    <row r="79" spans="1:10" x14ac:dyDescent="0.35">
      <c r="A79" s="264" t="s">
        <v>733</v>
      </c>
      <c r="B79" s="249" t="s">
        <v>532</v>
      </c>
      <c r="C79" s="250"/>
      <c r="D79" s="250"/>
      <c r="E79" s="250"/>
      <c r="F79" s="250"/>
      <c r="G79" s="250"/>
      <c r="H79" s="250"/>
      <c r="I79" s="246"/>
      <c r="J79" s="246"/>
    </row>
    <row r="80" spans="1:10" x14ac:dyDescent="0.35">
      <c r="A80" s="265" t="s">
        <v>734</v>
      </c>
      <c r="B80" s="266" t="s">
        <v>532</v>
      </c>
      <c r="C80" s="267"/>
      <c r="D80" s="267"/>
      <c r="E80" s="267"/>
      <c r="F80" s="267"/>
      <c r="G80" s="267"/>
      <c r="H80" s="267"/>
      <c r="I80" s="246"/>
      <c r="J80" s="246"/>
    </row>
    <row r="81" spans="1:10" ht="24" x14ac:dyDescent="0.35">
      <c r="A81" s="262" t="s">
        <v>735</v>
      </c>
      <c r="B81" s="251" t="s">
        <v>539</v>
      </c>
      <c r="C81" s="252">
        <v>5</v>
      </c>
      <c r="D81" s="346"/>
      <c r="E81" s="252">
        <f>C81*D81</f>
        <v>0</v>
      </c>
      <c r="F81" s="346"/>
      <c r="G81" s="252">
        <f>C81*F81</f>
        <v>0</v>
      </c>
      <c r="H81" s="252">
        <f t="shared" ref="H81:H96" si="3">E81+G81</f>
        <v>0</v>
      </c>
      <c r="I81" s="246"/>
      <c r="J81" s="246"/>
    </row>
    <row r="82" spans="1:10" ht="24" x14ac:dyDescent="0.35">
      <c r="A82" s="262" t="s">
        <v>736</v>
      </c>
      <c r="B82" s="251" t="s">
        <v>539</v>
      </c>
      <c r="C82" s="252">
        <v>26</v>
      </c>
      <c r="D82" s="346"/>
      <c r="E82" s="252">
        <f>C82*D82</f>
        <v>0</v>
      </c>
      <c r="F82" s="346"/>
      <c r="G82" s="252">
        <f>C82*F82</f>
        <v>0</v>
      </c>
      <c r="H82" s="252">
        <f t="shared" si="3"/>
        <v>0</v>
      </c>
      <c r="I82" s="246"/>
      <c r="J82" s="246"/>
    </row>
    <row r="83" spans="1:10" ht="24" x14ac:dyDescent="0.35">
      <c r="A83" s="262" t="s">
        <v>737</v>
      </c>
      <c r="B83" s="251" t="s">
        <v>539</v>
      </c>
      <c r="C83" s="252">
        <v>6</v>
      </c>
      <c r="D83" s="346"/>
      <c r="E83" s="252">
        <f>C83*D83</f>
        <v>0</v>
      </c>
      <c r="F83" s="346"/>
      <c r="G83" s="252">
        <f>C83*F83</f>
        <v>0</v>
      </c>
      <c r="H83" s="252">
        <f t="shared" si="3"/>
        <v>0</v>
      </c>
      <c r="I83" s="246"/>
      <c r="J83" s="246"/>
    </row>
    <row r="84" spans="1:10" x14ac:dyDescent="0.35">
      <c r="A84" s="262" t="s">
        <v>738</v>
      </c>
      <c r="B84" s="251" t="s">
        <v>539</v>
      </c>
      <c r="C84" s="252">
        <v>5</v>
      </c>
      <c r="D84" s="346"/>
      <c r="E84" s="252">
        <f>C84*D84</f>
        <v>0</v>
      </c>
      <c r="F84" s="346"/>
      <c r="G84" s="252">
        <f>C84*F84</f>
        <v>0</v>
      </c>
      <c r="H84" s="252">
        <f t="shared" si="3"/>
        <v>0</v>
      </c>
      <c r="I84" s="246"/>
      <c r="J84" s="246"/>
    </row>
    <row r="85" spans="1:10" x14ac:dyDescent="0.35">
      <c r="A85" s="262" t="s">
        <v>532</v>
      </c>
      <c r="B85" s="251" t="s">
        <v>532</v>
      </c>
      <c r="C85" s="252"/>
      <c r="D85" s="252"/>
      <c r="E85" s="252"/>
      <c r="F85" s="252"/>
      <c r="G85" s="252"/>
      <c r="H85" s="252">
        <f t="shared" si="3"/>
        <v>0</v>
      </c>
      <c r="I85" s="246"/>
      <c r="J85" s="246"/>
    </row>
    <row r="86" spans="1:10" x14ac:dyDescent="0.35">
      <c r="A86" s="262" t="s">
        <v>739</v>
      </c>
      <c r="B86" s="251" t="s">
        <v>539</v>
      </c>
      <c r="C86" s="252">
        <v>3</v>
      </c>
      <c r="D86" s="346"/>
      <c r="E86" s="252">
        <f t="shared" ref="E86:E91" si="4">C86*D86</f>
        <v>0</v>
      </c>
      <c r="F86" s="346"/>
      <c r="G86" s="252">
        <f t="shared" ref="G86:G91" si="5">C86*F86</f>
        <v>0</v>
      </c>
      <c r="H86" s="252">
        <f t="shared" si="3"/>
        <v>0</v>
      </c>
      <c r="I86" s="246"/>
      <c r="J86" s="246"/>
    </row>
    <row r="87" spans="1:10" x14ac:dyDescent="0.35">
      <c r="A87" s="262" t="s">
        <v>740</v>
      </c>
      <c r="B87" s="251" t="s">
        <v>539</v>
      </c>
      <c r="C87" s="252">
        <v>1</v>
      </c>
      <c r="D87" s="346"/>
      <c r="E87" s="252">
        <f t="shared" si="4"/>
        <v>0</v>
      </c>
      <c r="F87" s="346"/>
      <c r="G87" s="252">
        <f t="shared" si="5"/>
        <v>0</v>
      </c>
      <c r="H87" s="252">
        <f t="shared" si="3"/>
        <v>0</v>
      </c>
      <c r="I87" s="246"/>
      <c r="J87" s="246"/>
    </row>
    <row r="88" spans="1:10" x14ac:dyDescent="0.35">
      <c r="A88" s="262" t="s">
        <v>741</v>
      </c>
      <c r="B88" s="251" t="s">
        <v>539</v>
      </c>
      <c r="C88" s="252">
        <v>4</v>
      </c>
      <c r="D88" s="346"/>
      <c r="E88" s="252">
        <f t="shared" si="4"/>
        <v>0</v>
      </c>
      <c r="F88" s="346"/>
      <c r="G88" s="252">
        <f t="shared" si="5"/>
        <v>0</v>
      </c>
      <c r="H88" s="252">
        <f t="shared" si="3"/>
        <v>0</v>
      </c>
      <c r="I88" s="246"/>
      <c r="J88" s="246"/>
    </row>
    <row r="89" spans="1:10" x14ac:dyDescent="0.35">
      <c r="A89" s="262" t="s">
        <v>742</v>
      </c>
      <c r="B89" s="251" t="s">
        <v>539</v>
      </c>
      <c r="C89" s="252">
        <v>1</v>
      </c>
      <c r="D89" s="346"/>
      <c r="E89" s="252">
        <f t="shared" si="4"/>
        <v>0</v>
      </c>
      <c r="F89" s="346"/>
      <c r="G89" s="252">
        <f t="shared" si="5"/>
        <v>0</v>
      </c>
      <c r="H89" s="252">
        <f t="shared" si="3"/>
        <v>0</v>
      </c>
      <c r="I89" s="246"/>
      <c r="J89" s="246"/>
    </row>
    <row r="90" spans="1:10" x14ac:dyDescent="0.35">
      <c r="A90" s="262" t="s">
        <v>743</v>
      </c>
      <c r="B90" s="251" t="s">
        <v>539</v>
      </c>
      <c r="C90" s="252">
        <v>1</v>
      </c>
      <c r="D90" s="346"/>
      <c r="E90" s="252">
        <f t="shared" si="4"/>
        <v>0</v>
      </c>
      <c r="F90" s="346"/>
      <c r="G90" s="252">
        <f t="shared" si="5"/>
        <v>0</v>
      </c>
      <c r="H90" s="252">
        <f t="shared" si="3"/>
        <v>0</v>
      </c>
      <c r="I90" s="246"/>
      <c r="J90" s="246"/>
    </row>
    <row r="91" spans="1:10" ht="24" x14ac:dyDescent="0.35">
      <c r="A91" s="262" t="s">
        <v>744</v>
      </c>
      <c r="B91" s="251" t="s">
        <v>539</v>
      </c>
      <c r="C91" s="252">
        <v>9</v>
      </c>
      <c r="D91" s="346"/>
      <c r="E91" s="252">
        <f t="shared" si="4"/>
        <v>0</v>
      </c>
      <c r="F91" s="346"/>
      <c r="G91" s="252">
        <f t="shared" si="5"/>
        <v>0</v>
      </c>
      <c r="H91" s="252">
        <f t="shared" si="3"/>
        <v>0</v>
      </c>
      <c r="I91" s="246"/>
      <c r="J91" s="246"/>
    </row>
    <row r="92" spans="1:10" x14ac:dyDescent="0.35">
      <c r="A92" s="262" t="s">
        <v>532</v>
      </c>
      <c r="B92" s="251" t="s">
        <v>532</v>
      </c>
      <c r="C92" s="252"/>
      <c r="D92" s="252"/>
      <c r="E92" s="252"/>
      <c r="F92" s="252"/>
      <c r="G92" s="252"/>
      <c r="H92" s="252">
        <f t="shared" si="3"/>
        <v>0</v>
      </c>
      <c r="I92" s="246"/>
      <c r="J92" s="246"/>
    </row>
    <row r="93" spans="1:10" ht="24" x14ac:dyDescent="0.35">
      <c r="A93" s="262" t="s">
        <v>745</v>
      </c>
      <c r="B93" s="251" t="s">
        <v>539</v>
      </c>
      <c r="C93" s="252">
        <v>10</v>
      </c>
      <c r="D93" s="346"/>
      <c r="E93" s="252">
        <f>C93*D93</f>
        <v>0</v>
      </c>
      <c r="F93" s="346"/>
      <c r="G93" s="252">
        <f>C93*F93</f>
        <v>0</v>
      </c>
      <c r="H93" s="252">
        <f t="shared" si="3"/>
        <v>0</v>
      </c>
      <c r="I93" s="246"/>
      <c r="J93" s="246"/>
    </row>
    <row r="94" spans="1:10" x14ac:dyDescent="0.35">
      <c r="A94" s="262" t="s">
        <v>746</v>
      </c>
      <c r="B94" s="251" t="s">
        <v>539</v>
      </c>
      <c r="C94" s="252">
        <v>61</v>
      </c>
      <c r="D94" s="346"/>
      <c r="E94" s="252">
        <f>C94*D94</f>
        <v>0</v>
      </c>
      <c r="F94" s="252">
        <v>0</v>
      </c>
      <c r="G94" s="252">
        <f>C94*F94</f>
        <v>0</v>
      </c>
      <c r="H94" s="252">
        <f t="shared" si="3"/>
        <v>0</v>
      </c>
      <c r="I94" s="246"/>
      <c r="J94" s="246"/>
    </row>
    <row r="95" spans="1:10" x14ac:dyDescent="0.35">
      <c r="A95" s="262" t="s">
        <v>747</v>
      </c>
      <c r="B95" s="251" t="s">
        <v>539</v>
      </c>
      <c r="C95" s="252">
        <v>61</v>
      </c>
      <c r="D95" s="346"/>
      <c r="E95" s="252">
        <f>C95*D95</f>
        <v>0</v>
      </c>
      <c r="F95" s="346"/>
      <c r="G95" s="252">
        <f>C95*F95</f>
        <v>0</v>
      </c>
      <c r="H95" s="252">
        <f t="shared" si="3"/>
        <v>0</v>
      </c>
      <c r="I95" s="246"/>
      <c r="J95" s="246"/>
    </row>
    <row r="96" spans="1:10" x14ac:dyDescent="0.35">
      <c r="A96" s="262" t="s">
        <v>532</v>
      </c>
      <c r="B96" s="251" t="s">
        <v>532</v>
      </c>
      <c r="C96" s="252"/>
      <c r="D96" s="252"/>
      <c r="E96" s="252"/>
      <c r="F96" s="252"/>
      <c r="G96" s="252"/>
      <c r="H96" s="252">
        <f t="shared" si="3"/>
        <v>0</v>
      </c>
      <c r="I96" s="246"/>
      <c r="J96" s="246"/>
    </row>
    <row r="97" spans="1:10" x14ac:dyDescent="0.35">
      <c r="A97" s="265" t="s">
        <v>748</v>
      </c>
      <c r="B97" s="266" t="s">
        <v>532</v>
      </c>
      <c r="C97" s="267"/>
      <c r="D97" s="267"/>
      <c r="E97" s="267"/>
      <c r="F97" s="267"/>
      <c r="G97" s="267"/>
      <c r="H97" s="267"/>
      <c r="I97" s="246"/>
      <c r="J97" s="246"/>
    </row>
    <row r="98" spans="1:10" ht="24" x14ac:dyDescent="0.35">
      <c r="A98" s="262" t="s">
        <v>749</v>
      </c>
      <c r="B98" s="251" t="s">
        <v>693</v>
      </c>
      <c r="C98" s="252">
        <v>4</v>
      </c>
      <c r="D98" s="252">
        <v>0</v>
      </c>
      <c r="E98" s="252">
        <f>C98*D98</f>
        <v>0</v>
      </c>
      <c r="F98" s="346"/>
      <c r="G98" s="252">
        <f>C98*F98</f>
        <v>0</v>
      </c>
      <c r="H98" s="252">
        <f>E98+G98</f>
        <v>0</v>
      </c>
      <c r="I98" s="246"/>
      <c r="J98" s="246"/>
    </row>
    <row r="99" spans="1:10" ht="24" x14ac:dyDescent="0.35">
      <c r="A99" s="262" t="s">
        <v>750</v>
      </c>
      <c r="B99" s="251" t="s">
        <v>693</v>
      </c>
      <c r="C99" s="252">
        <v>3</v>
      </c>
      <c r="D99" s="252">
        <v>0</v>
      </c>
      <c r="E99" s="252">
        <f>C99*D99</f>
        <v>0</v>
      </c>
      <c r="F99" s="346"/>
      <c r="G99" s="252">
        <f>C99*F99</f>
        <v>0</v>
      </c>
      <c r="H99" s="252">
        <f>E99+G99</f>
        <v>0</v>
      </c>
      <c r="I99" s="246"/>
      <c r="J99" s="246"/>
    </row>
    <row r="100" spans="1:10" x14ac:dyDescent="0.35">
      <c r="A100" s="262" t="s">
        <v>532</v>
      </c>
      <c r="B100" s="251" t="s">
        <v>532</v>
      </c>
      <c r="C100" s="252"/>
      <c r="D100" s="252"/>
      <c r="E100" s="252"/>
      <c r="F100" s="252"/>
      <c r="G100" s="252"/>
      <c r="H100" s="252">
        <f>E100+G100</f>
        <v>0</v>
      </c>
      <c r="I100" s="246"/>
      <c r="J100" s="246"/>
    </row>
    <row r="101" spans="1:10" x14ac:dyDescent="0.35">
      <c r="A101" s="262" t="s">
        <v>751</v>
      </c>
      <c r="B101" s="251" t="s">
        <v>532</v>
      </c>
      <c r="C101" s="252"/>
      <c r="D101" s="252"/>
      <c r="E101" s="252"/>
      <c r="F101" s="252"/>
      <c r="G101" s="252"/>
      <c r="H101" s="252">
        <f>E101+G101</f>
        <v>0</v>
      </c>
      <c r="I101" s="246"/>
      <c r="J101" s="246"/>
    </row>
    <row r="102" spans="1:10" x14ac:dyDescent="0.35">
      <c r="A102" s="262" t="s">
        <v>532</v>
      </c>
      <c r="B102" s="251" t="s">
        <v>532</v>
      </c>
      <c r="C102" s="252"/>
      <c r="D102" s="252"/>
      <c r="E102" s="252"/>
      <c r="F102" s="252"/>
      <c r="G102" s="252"/>
      <c r="H102" s="252">
        <f>E102+G102</f>
        <v>0</v>
      </c>
      <c r="I102" s="246"/>
      <c r="J102" s="246"/>
    </row>
    <row r="103" spans="1:10" x14ac:dyDescent="0.35">
      <c r="A103" s="264" t="s">
        <v>752</v>
      </c>
      <c r="B103" s="249" t="s">
        <v>532</v>
      </c>
      <c r="C103" s="250"/>
      <c r="D103" s="250"/>
      <c r="E103" s="250">
        <f>SUM(E80:E102)</f>
        <v>0</v>
      </c>
      <c r="F103" s="250"/>
      <c r="G103" s="250">
        <f>SUM(G80:G102)</f>
        <v>0</v>
      </c>
      <c r="H103" s="250">
        <f>SUM(H80:H102)</f>
        <v>0</v>
      </c>
      <c r="I103" s="246"/>
      <c r="J103" s="246"/>
    </row>
    <row r="104" spans="1:10" x14ac:dyDescent="0.35">
      <c r="A104" s="262" t="s">
        <v>532</v>
      </c>
      <c r="B104" s="251" t="s">
        <v>532</v>
      </c>
      <c r="C104" s="252"/>
      <c r="D104" s="252"/>
      <c r="E104" s="252"/>
      <c r="F104" s="252"/>
      <c r="G104" s="252"/>
      <c r="H104" s="252">
        <f>E104+G104</f>
        <v>0</v>
      </c>
      <c r="I104" s="246"/>
      <c r="J104" s="246"/>
    </row>
    <row r="105" spans="1:10" x14ac:dyDescent="0.35">
      <c r="A105" s="265" t="s">
        <v>753</v>
      </c>
      <c r="B105" s="266" t="s">
        <v>532</v>
      </c>
      <c r="C105" s="267"/>
      <c r="D105" s="267"/>
      <c r="E105" s="267"/>
      <c r="F105" s="267"/>
      <c r="G105" s="267"/>
      <c r="H105" s="267"/>
      <c r="I105" s="246"/>
      <c r="J105" s="246"/>
    </row>
    <row r="106" spans="1:10" x14ac:dyDescent="0.35">
      <c r="A106" s="262" t="s">
        <v>754</v>
      </c>
      <c r="B106" s="251" t="s">
        <v>539</v>
      </c>
      <c r="C106" s="252">
        <v>3</v>
      </c>
      <c r="D106" s="346"/>
      <c r="E106" s="252">
        <f t="shared" ref="E106:E111" si="6">C106*D106</f>
        <v>0</v>
      </c>
      <c r="F106" s="346"/>
      <c r="G106" s="252">
        <f t="shared" ref="G106:G111" si="7">C106*F106</f>
        <v>0</v>
      </c>
      <c r="H106" s="252">
        <f t="shared" ref="H106:H112" si="8">E106+G106</f>
        <v>0</v>
      </c>
      <c r="I106" s="246"/>
      <c r="J106" s="246"/>
    </row>
    <row r="107" spans="1:10" x14ac:dyDescent="0.35">
      <c r="A107" s="262" t="s">
        <v>755</v>
      </c>
      <c r="B107" s="251" t="s">
        <v>539</v>
      </c>
      <c r="C107" s="252">
        <v>4</v>
      </c>
      <c r="D107" s="346"/>
      <c r="E107" s="252">
        <f t="shared" si="6"/>
        <v>0</v>
      </c>
      <c r="F107" s="346"/>
      <c r="G107" s="252">
        <f t="shared" si="7"/>
        <v>0</v>
      </c>
      <c r="H107" s="252">
        <f t="shared" si="8"/>
        <v>0</v>
      </c>
      <c r="I107" s="246"/>
      <c r="J107" s="246"/>
    </row>
    <row r="108" spans="1:10" x14ac:dyDescent="0.35">
      <c r="A108" s="262" t="s">
        <v>756</v>
      </c>
      <c r="B108" s="251" t="s">
        <v>539</v>
      </c>
      <c r="C108" s="252">
        <v>8</v>
      </c>
      <c r="D108" s="346"/>
      <c r="E108" s="252">
        <f t="shared" si="6"/>
        <v>0</v>
      </c>
      <c r="F108" s="346"/>
      <c r="G108" s="252">
        <f t="shared" si="7"/>
        <v>0</v>
      </c>
      <c r="H108" s="252">
        <f t="shared" si="8"/>
        <v>0</v>
      </c>
      <c r="I108" s="246"/>
      <c r="J108" s="246"/>
    </row>
    <row r="109" spans="1:10" x14ac:dyDescent="0.35">
      <c r="A109" s="262" t="s">
        <v>757</v>
      </c>
      <c r="B109" s="251" t="s">
        <v>539</v>
      </c>
      <c r="C109" s="252">
        <v>7</v>
      </c>
      <c r="D109" s="346"/>
      <c r="E109" s="252">
        <f t="shared" si="6"/>
        <v>0</v>
      </c>
      <c r="F109" s="346"/>
      <c r="G109" s="252">
        <f t="shared" si="7"/>
        <v>0</v>
      </c>
      <c r="H109" s="252">
        <f t="shared" si="8"/>
        <v>0</v>
      </c>
      <c r="I109" s="246"/>
      <c r="J109" s="246"/>
    </row>
    <row r="110" spans="1:10" x14ac:dyDescent="0.35">
      <c r="A110" s="262" t="s">
        <v>758</v>
      </c>
      <c r="B110" s="251" t="s">
        <v>539</v>
      </c>
      <c r="C110" s="252">
        <v>6</v>
      </c>
      <c r="D110" s="346"/>
      <c r="E110" s="252">
        <f t="shared" si="6"/>
        <v>0</v>
      </c>
      <c r="F110" s="346"/>
      <c r="G110" s="252">
        <f t="shared" si="7"/>
        <v>0</v>
      </c>
      <c r="H110" s="252">
        <f t="shared" si="8"/>
        <v>0</v>
      </c>
      <c r="I110" s="246"/>
      <c r="J110" s="246"/>
    </row>
    <row r="111" spans="1:10" x14ac:dyDescent="0.35">
      <c r="A111" s="262" t="s">
        <v>759</v>
      </c>
      <c r="B111" s="251" t="s">
        <v>539</v>
      </c>
      <c r="C111" s="252">
        <v>3</v>
      </c>
      <c r="D111" s="346"/>
      <c r="E111" s="252">
        <f t="shared" si="6"/>
        <v>0</v>
      </c>
      <c r="F111" s="346"/>
      <c r="G111" s="252">
        <f t="shared" si="7"/>
        <v>0</v>
      </c>
      <c r="H111" s="252">
        <f t="shared" si="8"/>
        <v>0</v>
      </c>
      <c r="I111" s="246"/>
      <c r="J111" s="246"/>
    </row>
    <row r="112" spans="1:10" x14ac:dyDescent="0.35">
      <c r="A112" s="262" t="s">
        <v>532</v>
      </c>
      <c r="B112" s="251" t="s">
        <v>532</v>
      </c>
      <c r="C112" s="252"/>
      <c r="D112" s="252"/>
      <c r="E112" s="252"/>
      <c r="F112" s="252"/>
      <c r="G112" s="252"/>
      <c r="H112" s="252">
        <f t="shared" si="8"/>
        <v>0</v>
      </c>
      <c r="I112" s="246"/>
      <c r="J112" s="246"/>
    </row>
    <row r="113" spans="1:10" x14ac:dyDescent="0.35">
      <c r="A113" s="265" t="s">
        <v>760</v>
      </c>
      <c r="B113" s="266" t="s">
        <v>532</v>
      </c>
      <c r="C113" s="267"/>
      <c r="D113" s="267"/>
      <c r="E113" s="267"/>
      <c r="F113" s="267"/>
      <c r="G113" s="267"/>
      <c r="H113" s="267"/>
      <c r="I113" s="246"/>
      <c r="J113" s="246"/>
    </row>
    <row r="114" spans="1:10" x14ac:dyDescent="0.35">
      <c r="A114" s="262" t="s">
        <v>761</v>
      </c>
      <c r="B114" s="251" t="s">
        <v>539</v>
      </c>
      <c r="C114" s="252">
        <v>2</v>
      </c>
      <c r="D114" s="346"/>
      <c r="E114" s="252">
        <f>C114*D114</f>
        <v>0</v>
      </c>
      <c r="F114" s="346"/>
      <c r="G114" s="252">
        <f>C114*F114</f>
        <v>0</v>
      </c>
      <c r="H114" s="252">
        <f>E114+G114</f>
        <v>0</v>
      </c>
      <c r="I114" s="246"/>
      <c r="J114" s="246"/>
    </row>
    <row r="115" spans="1:10" x14ac:dyDescent="0.35">
      <c r="A115" s="262" t="s">
        <v>532</v>
      </c>
      <c r="B115" s="251" t="s">
        <v>532</v>
      </c>
      <c r="C115" s="252"/>
      <c r="D115" s="252"/>
      <c r="E115" s="252"/>
      <c r="F115" s="252"/>
      <c r="G115" s="252"/>
      <c r="H115" s="252">
        <f>E115+G115</f>
        <v>0</v>
      </c>
      <c r="I115" s="246"/>
      <c r="J115" s="246"/>
    </row>
    <row r="116" spans="1:10" x14ac:dyDescent="0.35">
      <c r="A116" s="265" t="s">
        <v>762</v>
      </c>
      <c r="B116" s="266" t="s">
        <v>532</v>
      </c>
      <c r="C116" s="267"/>
      <c r="D116" s="267"/>
      <c r="E116" s="267"/>
      <c r="F116" s="267"/>
      <c r="G116" s="267"/>
      <c r="H116" s="267"/>
      <c r="I116" s="246"/>
      <c r="J116" s="246"/>
    </row>
    <row r="117" spans="1:10" x14ac:dyDescent="0.35">
      <c r="A117" s="262" t="s">
        <v>763</v>
      </c>
      <c r="B117" s="251" t="s">
        <v>539</v>
      </c>
      <c r="C117" s="252">
        <v>50</v>
      </c>
      <c r="D117" s="346"/>
      <c r="E117" s="252">
        <f>C117*D117</f>
        <v>0</v>
      </c>
      <c r="F117" s="346"/>
      <c r="G117" s="252">
        <f>C117*F117</f>
        <v>0</v>
      </c>
      <c r="H117" s="252">
        <f>E117+G117</f>
        <v>0</v>
      </c>
      <c r="I117" s="246"/>
      <c r="J117" s="246"/>
    </row>
    <row r="118" spans="1:10" ht="24" x14ac:dyDescent="0.35">
      <c r="A118" s="262" t="s">
        <v>764</v>
      </c>
      <c r="B118" s="251" t="s">
        <v>539</v>
      </c>
      <c r="C118" s="252">
        <v>3</v>
      </c>
      <c r="D118" s="346"/>
      <c r="E118" s="252">
        <f>C118*D118</f>
        <v>0</v>
      </c>
      <c r="F118" s="346"/>
      <c r="G118" s="252">
        <f>C118*F118</f>
        <v>0</v>
      </c>
      <c r="H118" s="252">
        <f>E118+G118</f>
        <v>0</v>
      </c>
      <c r="I118" s="246"/>
      <c r="J118" s="246"/>
    </row>
    <row r="119" spans="1:10" x14ac:dyDescent="0.35">
      <c r="A119" s="262" t="s">
        <v>532</v>
      </c>
      <c r="B119" s="251" t="s">
        <v>532</v>
      </c>
      <c r="C119" s="252"/>
      <c r="D119" s="252"/>
      <c r="E119" s="252"/>
      <c r="F119" s="252"/>
      <c r="G119" s="252"/>
      <c r="H119" s="252">
        <f>E119+G119</f>
        <v>0</v>
      </c>
      <c r="I119" s="246"/>
      <c r="J119" s="246"/>
    </row>
    <row r="120" spans="1:10" x14ac:dyDescent="0.35">
      <c r="A120" s="265" t="s">
        <v>765</v>
      </c>
      <c r="B120" s="266" t="s">
        <v>532</v>
      </c>
      <c r="C120" s="267"/>
      <c r="D120" s="267"/>
      <c r="E120" s="267"/>
      <c r="F120" s="267"/>
      <c r="G120" s="267"/>
      <c r="H120" s="267"/>
      <c r="I120" s="246"/>
      <c r="J120" s="246"/>
    </row>
    <row r="121" spans="1:10" x14ac:dyDescent="0.35">
      <c r="A121" s="262" t="s">
        <v>766</v>
      </c>
      <c r="B121" s="251" t="s">
        <v>539</v>
      </c>
      <c r="C121" s="252">
        <v>3</v>
      </c>
      <c r="D121" s="346"/>
      <c r="E121" s="252">
        <f>C121*D121</f>
        <v>0</v>
      </c>
      <c r="F121" s="346"/>
      <c r="G121" s="252">
        <f>C121*F121</f>
        <v>0</v>
      </c>
      <c r="H121" s="252">
        <f>E121+G121</f>
        <v>0</v>
      </c>
      <c r="I121" s="246"/>
      <c r="J121" s="246"/>
    </row>
    <row r="122" spans="1:10" x14ac:dyDescent="0.35">
      <c r="A122" s="262" t="s">
        <v>532</v>
      </c>
      <c r="B122" s="251" t="s">
        <v>532</v>
      </c>
      <c r="C122" s="252"/>
      <c r="D122" s="252"/>
      <c r="E122" s="252"/>
      <c r="F122" s="252"/>
      <c r="G122" s="252"/>
      <c r="H122" s="252">
        <f>E122+G122</f>
        <v>0</v>
      </c>
      <c r="I122" s="246"/>
      <c r="J122" s="246"/>
    </row>
    <row r="123" spans="1:10" x14ac:dyDescent="0.35">
      <c r="A123" s="265" t="s">
        <v>767</v>
      </c>
      <c r="B123" s="266" t="s">
        <v>532</v>
      </c>
      <c r="C123" s="267"/>
      <c r="D123" s="267"/>
      <c r="E123" s="267"/>
      <c r="F123" s="267"/>
      <c r="G123" s="267"/>
      <c r="H123" s="267"/>
      <c r="I123" s="246"/>
      <c r="J123" s="246"/>
    </row>
    <row r="124" spans="1:10" ht="24" x14ac:dyDescent="0.35">
      <c r="A124" s="262" t="s">
        <v>768</v>
      </c>
      <c r="B124" s="251" t="s">
        <v>697</v>
      </c>
      <c r="C124" s="252">
        <v>1</v>
      </c>
      <c r="D124" s="346"/>
      <c r="E124" s="252">
        <f>C124*D124</f>
        <v>0</v>
      </c>
      <c r="F124" s="346"/>
      <c r="G124" s="252">
        <f>C124*F124</f>
        <v>0</v>
      </c>
      <c r="H124" s="252">
        <f>E124+G124</f>
        <v>0</v>
      </c>
      <c r="I124" s="246"/>
      <c r="J124" s="246"/>
    </row>
    <row r="125" spans="1:10" x14ac:dyDescent="0.35">
      <c r="A125" s="262" t="s">
        <v>532</v>
      </c>
      <c r="B125" s="251" t="s">
        <v>532</v>
      </c>
      <c r="C125" s="252"/>
      <c r="D125" s="252"/>
      <c r="E125" s="252"/>
      <c r="F125" s="252"/>
      <c r="G125" s="252"/>
      <c r="H125" s="252">
        <f>E125+G125</f>
        <v>0</v>
      </c>
      <c r="I125" s="246"/>
      <c r="J125" s="246"/>
    </row>
    <row r="126" spans="1:10" ht="26.5" x14ac:dyDescent="0.35">
      <c r="A126" s="265" t="s">
        <v>769</v>
      </c>
      <c r="B126" s="266" t="s">
        <v>532</v>
      </c>
      <c r="C126" s="267"/>
      <c r="D126" s="267"/>
      <c r="E126" s="267"/>
      <c r="F126" s="267"/>
      <c r="G126" s="267"/>
      <c r="H126" s="267"/>
      <c r="I126" s="246"/>
      <c r="J126" s="246"/>
    </row>
    <row r="127" spans="1:10" x14ac:dyDescent="0.35">
      <c r="A127" s="262" t="s">
        <v>770</v>
      </c>
      <c r="B127" s="251" t="s">
        <v>539</v>
      </c>
      <c r="C127" s="252">
        <v>21</v>
      </c>
      <c r="D127" s="346"/>
      <c r="E127" s="252">
        <f>C127*D127</f>
        <v>0</v>
      </c>
      <c r="F127" s="346"/>
      <c r="G127" s="252">
        <f>C127*F127</f>
        <v>0</v>
      </c>
      <c r="H127" s="252">
        <f>E127+G127</f>
        <v>0</v>
      </c>
      <c r="I127" s="246"/>
      <c r="J127" s="246"/>
    </row>
    <row r="128" spans="1:10" x14ac:dyDescent="0.35">
      <c r="A128" s="262" t="s">
        <v>771</v>
      </c>
      <c r="B128" s="251" t="s">
        <v>539</v>
      </c>
      <c r="C128" s="252">
        <v>10</v>
      </c>
      <c r="D128" s="346"/>
      <c r="E128" s="252">
        <f>C128*D128</f>
        <v>0</v>
      </c>
      <c r="F128" s="346"/>
      <c r="G128" s="252">
        <f>C128*F128</f>
        <v>0</v>
      </c>
      <c r="H128" s="252">
        <f>E128+G128</f>
        <v>0</v>
      </c>
      <c r="I128" s="246"/>
      <c r="J128" s="246"/>
    </row>
    <row r="129" spans="1:10" x14ac:dyDescent="0.35">
      <c r="A129" s="262" t="s">
        <v>532</v>
      </c>
      <c r="B129" s="251" t="s">
        <v>532</v>
      </c>
      <c r="C129" s="252"/>
      <c r="D129" s="252"/>
      <c r="E129" s="252"/>
      <c r="F129" s="252"/>
      <c r="G129" s="252"/>
      <c r="H129" s="252">
        <f>E129+G129</f>
        <v>0</v>
      </c>
      <c r="I129" s="246"/>
      <c r="J129" s="246"/>
    </row>
    <row r="130" spans="1:10" x14ac:dyDescent="0.35">
      <c r="A130" s="264" t="s">
        <v>772</v>
      </c>
      <c r="B130" s="249" t="s">
        <v>532</v>
      </c>
      <c r="C130" s="250"/>
      <c r="D130" s="250"/>
      <c r="E130" s="250"/>
      <c r="F130" s="250"/>
      <c r="G130" s="250"/>
      <c r="H130" s="250"/>
      <c r="I130" s="246"/>
      <c r="J130" s="246"/>
    </row>
    <row r="131" spans="1:10" x14ac:dyDescent="0.35">
      <c r="A131" s="265" t="s">
        <v>773</v>
      </c>
      <c r="B131" s="266" t="s">
        <v>532</v>
      </c>
      <c r="C131" s="267"/>
      <c r="D131" s="267"/>
      <c r="E131" s="267"/>
      <c r="F131" s="267"/>
      <c r="G131" s="267"/>
      <c r="H131" s="267"/>
      <c r="I131" s="246"/>
      <c r="J131" s="246"/>
    </row>
    <row r="132" spans="1:10" x14ac:dyDescent="0.35">
      <c r="A132" s="262" t="s">
        <v>774</v>
      </c>
      <c r="B132" s="251" t="s">
        <v>203</v>
      </c>
      <c r="C132" s="252">
        <v>350</v>
      </c>
      <c r="D132" s="346"/>
      <c r="E132" s="252">
        <f>C132*D132</f>
        <v>0</v>
      </c>
      <c r="F132" s="346"/>
      <c r="G132" s="252">
        <f>C132*F132</f>
        <v>0</v>
      </c>
      <c r="H132" s="252">
        <f>E132+G132</f>
        <v>0</v>
      </c>
      <c r="I132" s="246"/>
      <c r="J132" s="246"/>
    </row>
    <row r="133" spans="1:10" x14ac:dyDescent="0.35">
      <c r="A133" s="262" t="s">
        <v>775</v>
      </c>
      <c r="B133" s="251" t="s">
        <v>532</v>
      </c>
      <c r="C133" s="252"/>
      <c r="D133" s="252"/>
      <c r="E133" s="252"/>
      <c r="F133" s="252"/>
      <c r="G133" s="252"/>
      <c r="H133" s="252">
        <f>E133+G133</f>
        <v>0</v>
      </c>
      <c r="I133" s="246"/>
      <c r="J133" s="246"/>
    </row>
    <row r="134" spans="1:10" x14ac:dyDescent="0.35">
      <c r="A134" s="262" t="s">
        <v>532</v>
      </c>
      <c r="B134" s="251" t="s">
        <v>532</v>
      </c>
      <c r="C134" s="252"/>
      <c r="D134" s="252"/>
      <c r="E134" s="252"/>
      <c r="F134" s="252"/>
      <c r="G134" s="252"/>
      <c r="H134" s="252">
        <f>E134+G134</f>
        <v>0</v>
      </c>
      <c r="I134" s="246"/>
      <c r="J134" s="246"/>
    </row>
    <row r="135" spans="1:10" x14ac:dyDescent="0.35">
      <c r="A135" s="265" t="s">
        <v>776</v>
      </c>
      <c r="B135" s="266" t="s">
        <v>532</v>
      </c>
      <c r="C135" s="267"/>
      <c r="D135" s="267"/>
      <c r="E135" s="267"/>
      <c r="F135" s="267"/>
      <c r="G135" s="267"/>
      <c r="H135" s="267"/>
      <c r="I135" s="246"/>
      <c r="J135" s="246"/>
    </row>
    <row r="136" spans="1:10" x14ac:dyDescent="0.35">
      <c r="A136" s="262" t="s">
        <v>777</v>
      </c>
      <c r="B136" s="251" t="s">
        <v>203</v>
      </c>
      <c r="C136" s="252">
        <v>50</v>
      </c>
      <c r="D136" s="346"/>
      <c r="E136" s="252">
        <f>C136*D136</f>
        <v>0</v>
      </c>
      <c r="F136" s="346"/>
      <c r="G136" s="252">
        <f>C136*F136</f>
        <v>0</v>
      </c>
      <c r="H136" s="252">
        <f>E136+G136</f>
        <v>0</v>
      </c>
      <c r="I136" s="246"/>
      <c r="J136" s="246"/>
    </row>
    <row r="137" spans="1:10" x14ac:dyDescent="0.35">
      <c r="A137" s="262" t="s">
        <v>532</v>
      </c>
      <c r="B137" s="251" t="s">
        <v>532</v>
      </c>
      <c r="C137" s="252"/>
      <c r="D137" s="252"/>
      <c r="E137" s="252"/>
      <c r="F137" s="252"/>
      <c r="G137" s="252"/>
      <c r="H137" s="252">
        <f>E137+G137</f>
        <v>0</v>
      </c>
      <c r="I137" s="246"/>
      <c r="J137" s="246"/>
    </row>
    <row r="138" spans="1:10" x14ac:dyDescent="0.35">
      <c r="A138" s="265" t="s">
        <v>778</v>
      </c>
      <c r="B138" s="266" t="s">
        <v>532</v>
      </c>
      <c r="C138" s="267"/>
      <c r="D138" s="267"/>
      <c r="E138" s="267"/>
      <c r="F138" s="267"/>
      <c r="G138" s="267"/>
      <c r="H138" s="267"/>
      <c r="I138" s="246"/>
      <c r="J138" s="246"/>
    </row>
    <row r="139" spans="1:10" x14ac:dyDescent="0.35">
      <c r="A139" s="262" t="s">
        <v>779</v>
      </c>
      <c r="B139" s="251" t="s">
        <v>539</v>
      </c>
      <c r="C139" s="252">
        <v>6</v>
      </c>
      <c r="D139" s="346"/>
      <c r="E139" s="252">
        <f>C139*D139</f>
        <v>0</v>
      </c>
      <c r="F139" s="346"/>
      <c r="G139" s="252">
        <f>C139*F139</f>
        <v>0</v>
      </c>
      <c r="H139" s="252">
        <f>E139+G139</f>
        <v>0</v>
      </c>
      <c r="I139" s="246"/>
      <c r="J139" s="246"/>
    </row>
    <row r="140" spans="1:10" x14ac:dyDescent="0.35">
      <c r="A140" s="262" t="s">
        <v>532</v>
      </c>
      <c r="B140" s="251" t="s">
        <v>532</v>
      </c>
      <c r="C140" s="252"/>
      <c r="D140" s="252"/>
      <c r="E140" s="252"/>
      <c r="F140" s="252"/>
      <c r="G140" s="252"/>
      <c r="H140" s="252">
        <f>E140+G140</f>
        <v>0</v>
      </c>
      <c r="I140" s="246"/>
      <c r="J140" s="246"/>
    </row>
    <row r="141" spans="1:10" x14ac:dyDescent="0.35">
      <c r="A141" s="265" t="s">
        <v>780</v>
      </c>
      <c r="B141" s="266" t="s">
        <v>532</v>
      </c>
      <c r="C141" s="267"/>
      <c r="D141" s="267"/>
      <c r="E141" s="267"/>
      <c r="F141" s="267"/>
      <c r="G141" s="267"/>
      <c r="H141" s="267"/>
      <c r="I141" s="246"/>
      <c r="J141" s="246"/>
    </row>
    <row r="142" spans="1:10" x14ac:dyDescent="0.35">
      <c r="A142" s="262" t="s">
        <v>781</v>
      </c>
      <c r="B142" s="251" t="s">
        <v>539</v>
      </c>
      <c r="C142" s="252">
        <v>2</v>
      </c>
      <c r="D142" s="346"/>
      <c r="E142" s="252">
        <f>C142*D142</f>
        <v>0</v>
      </c>
      <c r="F142" s="346"/>
      <c r="G142" s="252">
        <f>C142*F142</f>
        <v>0</v>
      </c>
      <c r="H142" s="252">
        <f>E142+G142</f>
        <v>0</v>
      </c>
      <c r="I142" s="246"/>
      <c r="J142" s="246"/>
    </row>
    <row r="143" spans="1:10" x14ac:dyDescent="0.35">
      <c r="A143" s="262" t="s">
        <v>532</v>
      </c>
      <c r="B143" s="251" t="s">
        <v>532</v>
      </c>
      <c r="C143" s="252"/>
      <c r="D143" s="252"/>
      <c r="E143" s="252"/>
      <c r="F143" s="252"/>
      <c r="G143" s="252"/>
      <c r="H143" s="252">
        <f>E143+G143</f>
        <v>0</v>
      </c>
      <c r="I143" s="246"/>
      <c r="J143" s="246"/>
    </row>
    <row r="144" spans="1:10" x14ac:dyDescent="0.35">
      <c r="A144" s="265" t="s">
        <v>782</v>
      </c>
      <c r="B144" s="266" t="s">
        <v>532</v>
      </c>
      <c r="C144" s="267"/>
      <c r="D144" s="267"/>
      <c r="E144" s="267"/>
      <c r="F144" s="267"/>
      <c r="G144" s="267"/>
      <c r="H144" s="267"/>
      <c r="I144" s="246"/>
      <c r="J144" s="246"/>
    </row>
    <row r="145" spans="1:10" x14ac:dyDescent="0.35">
      <c r="A145" s="262" t="s">
        <v>783</v>
      </c>
      <c r="B145" s="251" t="s">
        <v>539</v>
      </c>
      <c r="C145" s="252">
        <v>1</v>
      </c>
      <c r="D145" s="346"/>
      <c r="E145" s="252">
        <f>C145*D145</f>
        <v>0</v>
      </c>
      <c r="F145" s="346"/>
      <c r="G145" s="252">
        <f>C145*F145</f>
        <v>0</v>
      </c>
      <c r="H145" s="252">
        <f>E145+G145</f>
        <v>0</v>
      </c>
      <c r="I145" s="246"/>
      <c r="J145" s="246"/>
    </row>
    <row r="146" spans="1:10" x14ac:dyDescent="0.35">
      <c r="A146" s="262" t="s">
        <v>532</v>
      </c>
      <c r="B146" s="251" t="s">
        <v>532</v>
      </c>
      <c r="C146" s="252"/>
      <c r="D146" s="252"/>
      <c r="E146" s="252"/>
      <c r="F146" s="252"/>
      <c r="G146" s="252"/>
      <c r="H146" s="252">
        <f>E146+G146</f>
        <v>0</v>
      </c>
      <c r="I146" s="246"/>
      <c r="J146" s="246"/>
    </row>
    <row r="147" spans="1:10" x14ac:dyDescent="0.35">
      <c r="A147" s="265" t="s">
        <v>784</v>
      </c>
      <c r="B147" s="266" t="s">
        <v>532</v>
      </c>
      <c r="C147" s="267"/>
      <c r="D147" s="267"/>
      <c r="E147" s="267"/>
      <c r="F147" s="267"/>
      <c r="G147" s="267"/>
      <c r="H147" s="267"/>
      <c r="I147" s="246"/>
      <c r="J147" s="246"/>
    </row>
    <row r="148" spans="1:10" x14ac:dyDescent="0.35">
      <c r="A148" s="262" t="s">
        <v>785</v>
      </c>
      <c r="B148" s="251" t="s">
        <v>539</v>
      </c>
      <c r="C148" s="252">
        <v>15</v>
      </c>
      <c r="D148" s="252">
        <v>0</v>
      </c>
      <c r="E148" s="252">
        <f>C148*D148</f>
        <v>0</v>
      </c>
      <c r="F148" s="346"/>
      <c r="G148" s="252">
        <f>C148*F148</f>
        <v>0</v>
      </c>
      <c r="H148" s="252">
        <f>E148+G148</f>
        <v>0</v>
      </c>
      <c r="I148" s="246"/>
      <c r="J148" s="246"/>
    </row>
    <row r="149" spans="1:10" x14ac:dyDescent="0.35">
      <c r="A149" s="262" t="s">
        <v>532</v>
      </c>
      <c r="B149" s="251" t="s">
        <v>532</v>
      </c>
      <c r="C149" s="252"/>
      <c r="D149" s="252"/>
      <c r="E149" s="252"/>
      <c r="F149" s="252"/>
      <c r="G149" s="252"/>
      <c r="H149" s="252">
        <f>E149+G149</f>
        <v>0</v>
      </c>
      <c r="I149" s="246"/>
      <c r="J149" s="246"/>
    </row>
    <row r="150" spans="1:10" x14ac:dyDescent="0.35">
      <c r="A150" s="265" t="s">
        <v>786</v>
      </c>
      <c r="B150" s="266" t="s">
        <v>532</v>
      </c>
      <c r="C150" s="267"/>
      <c r="D150" s="267"/>
      <c r="E150" s="267"/>
      <c r="F150" s="267"/>
      <c r="G150" s="267"/>
      <c r="H150" s="267"/>
      <c r="I150" s="246"/>
      <c r="J150" s="246"/>
    </row>
    <row r="151" spans="1:10" x14ac:dyDescent="0.35">
      <c r="A151" s="262" t="s">
        <v>787</v>
      </c>
      <c r="B151" s="251" t="s">
        <v>693</v>
      </c>
      <c r="C151" s="252">
        <v>4</v>
      </c>
      <c r="D151" s="252">
        <v>0</v>
      </c>
      <c r="E151" s="252">
        <f>C151*D151</f>
        <v>0</v>
      </c>
      <c r="F151" s="346"/>
      <c r="G151" s="252">
        <f>C151*F151</f>
        <v>0</v>
      </c>
      <c r="H151" s="252">
        <f>E151+G151</f>
        <v>0</v>
      </c>
      <c r="I151" s="246"/>
      <c r="J151" s="246"/>
    </row>
    <row r="152" spans="1:10" x14ac:dyDescent="0.35">
      <c r="A152" s="262" t="s">
        <v>532</v>
      </c>
      <c r="B152" s="251" t="s">
        <v>532</v>
      </c>
      <c r="C152" s="252"/>
      <c r="D152" s="252"/>
      <c r="E152" s="252"/>
      <c r="F152" s="252"/>
      <c r="G152" s="252"/>
      <c r="H152" s="252">
        <f>E152+G152</f>
        <v>0</v>
      </c>
      <c r="I152" s="246"/>
      <c r="J152" s="246"/>
    </row>
    <row r="153" spans="1:10" x14ac:dyDescent="0.35">
      <c r="A153" s="265" t="s">
        <v>788</v>
      </c>
      <c r="B153" s="266" t="s">
        <v>532</v>
      </c>
      <c r="C153" s="267"/>
      <c r="D153" s="267"/>
      <c r="E153" s="267"/>
      <c r="F153" s="267"/>
      <c r="G153" s="267"/>
      <c r="H153" s="267"/>
      <c r="I153" s="246"/>
      <c r="J153" s="246"/>
    </row>
    <row r="154" spans="1:10" ht="58.5" x14ac:dyDescent="0.35">
      <c r="A154" s="262" t="s">
        <v>789</v>
      </c>
      <c r="B154" s="251" t="s">
        <v>207</v>
      </c>
      <c r="C154" s="252">
        <v>1</v>
      </c>
      <c r="D154" s="346"/>
      <c r="E154" s="252">
        <f>C154*D154</f>
        <v>0</v>
      </c>
      <c r="F154" s="346"/>
      <c r="G154" s="252">
        <f>C154*F154</f>
        <v>0</v>
      </c>
      <c r="H154" s="252">
        <f>E154+G154</f>
        <v>0</v>
      </c>
      <c r="I154" s="246"/>
      <c r="J154" s="246"/>
    </row>
    <row r="155" spans="1:10" x14ac:dyDescent="0.35">
      <c r="A155" s="262" t="s">
        <v>532</v>
      </c>
      <c r="B155" s="251" t="s">
        <v>532</v>
      </c>
      <c r="C155" s="252"/>
      <c r="D155" s="252"/>
      <c r="E155" s="252"/>
      <c r="F155" s="252"/>
      <c r="G155" s="252"/>
      <c r="H155" s="252">
        <f>E155+G155</f>
        <v>0</v>
      </c>
      <c r="I155" s="246"/>
      <c r="J155" s="246"/>
    </row>
    <row r="156" spans="1:10" x14ac:dyDescent="0.35">
      <c r="A156" s="264" t="s">
        <v>790</v>
      </c>
      <c r="B156" s="249" t="s">
        <v>532</v>
      </c>
      <c r="C156" s="250"/>
      <c r="D156" s="250"/>
      <c r="E156" s="250">
        <f>SUM(E131:E155)</f>
        <v>0</v>
      </c>
      <c r="F156" s="250"/>
      <c r="G156" s="250">
        <f>SUM(G131:G155)</f>
        <v>0</v>
      </c>
      <c r="H156" s="250">
        <f>SUM(H131:H155)</f>
        <v>0</v>
      </c>
      <c r="I156" s="246"/>
      <c r="J156" s="246"/>
    </row>
    <row r="157" spans="1:10" x14ac:dyDescent="0.35">
      <c r="A157" s="262" t="s">
        <v>532</v>
      </c>
      <c r="B157" s="251" t="s">
        <v>532</v>
      </c>
      <c r="C157" s="252"/>
      <c r="D157" s="252"/>
      <c r="E157" s="252"/>
      <c r="F157" s="252"/>
      <c r="G157" s="252"/>
      <c r="H157" s="252">
        <f>E157+G157</f>
        <v>0</v>
      </c>
      <c r="I157" s="246"/>
      <c r="J157" s="246"/>
    </row>
    <row r="158" spans="1:10" x14ac:dyDescent="0.35">
      <c r="A158" s="265" t="s">
        <v>791</v>
      </c>
      <c r="B158" s="266" t="s">
        <v>532</v>
      </c>
      <c r="C158" s="267"/>
      <c r="D158" s="267"/>
      <c r="E158" s="267"/>
      <c r="F158" s="267"/>
      <c r="G158" s="267"/>
      <c r="H158" s="267"/>
      <c r="I158" s="246"/>
      <c r="J158" s="246"/>
    </row>
    <row r="159" spans="1:10" x14ac:dyDescent="0.35">
      <c r="A159" s="262" t="s">
        <v>792</v>
      </c>
      <c r="B159" s="251" t="s">
        <v>539</v>
      </c>
      <c r="C159" s="252">
        <v>41</v>
      </c>
      <c r="D159" s="346"/>
      <c r="E159" s="252">
        <f>C159*D159</f>
        <v>0</v>
      </c>
      <c r="F159" s="346"/>
      <c r="G159" s="252">
        <f>C159*F159</f>
        <v>0</v>
      </c>
      <c r="H159" s="252">
        <f t="shared" ref="H159:H164" si="9">E159+G159</f>
        <v>0</v>
      </c>
      <c r="I159" s="246"/>
      <c r="J159" s="246"/>
    </row>
    <row r="160" spans="1:10" x14ac:dyDescent="0.35">
      <c r="A160" s="262" t="s">
        <v>793</v>
      </c>
      <c r="B160" s="251" t="s">
        <v>539</v>
      </c>
      <c r="C160" s="252">
        <v>10</v>
      </c>
      <c r="D160" s="346"/>
      <c r="E160" s="252">
        <f>C160*D160</f>
        <v>0</v>
      </c>
      <c r="F160" s="346"/>
      <c r="G160" s="252">
        <f>C160*F160</f>
        <v>0</v>
      </c>
      <c r="H160" s="252">
        <f t="shared" si="9"/>
        <v>0</v>
      </c>
      <c r="I160" s="246"/>
      <c r="J160" s="246"/>
    </row>
    <row r="161" spans="1:10" x14ac:dyDescent="0.35">
      <c r="A161" s="262" t="s">
        <v>794</v>
      </c>
      <c r="B161" s="251" t="s">
        <v>539</v>
      </c>
      <c r="C161" s="252">
        <v>5</v>
      </c>
      <c r="D161" s="346"/>
      <c r="E161" s="252">
        <f>C161*D161</f>
        <v>0</v>
      </c>
      <c r="F161" s="346"/>
      <c r="G161" s="252">
        <f>C161*F161</f>
        <v>0</v>
      </c>
      <c r="H161" s="252">
        <f t="shared" si="9"/>
        <v>0</v>
      </c>
      <c r="I161" s="246"/>
      <c r="J161" s="246"/>
    </row>
    <row r="162" spans="1:10" x14ac:dyDescent="0.35">
      <c r="A162" s="262" t="s">
        <v>795</v>
      </c>
      <c r="B162" s="251" t="s">
        <v>539</v>
      </c>
      <c r="C162" s="252">
        <v>1</v>
      </c>
      <c r="D162" s="346"/>
      <c r="E162" s="252">
        <f>C162*D162</f>
        <v>0</v>
      </c>
      <c r="F162" s="346"/>
      <c r="G162" s="252">
        <f>C162*F162</f>
        <v>0</v>
      </c>
      <c r="H162" s="252">
        <f t="shared" si="9"/>
        <v>0</v>
      </c>
      <c r="I162" s="246"/>
      <c r="J162" s="246"/>
    </row>
    <row r="163" spans="1:10" x14ac:dyDescent="0.35">
      <c r="A163" s="262" t="s">
        <v>796</v>
      </c>
      <c r="B163" s="251" t="s">
        <v>539</v>
      </c>
      <c r="C163" s="252">
        <v>3</v>
      </c>
      <c r="D163" s="346"/>
      <c r="E163" s="252">
        <f>C163*D163</f>
        <v>0</v>
      </c>
      <c r="F163" s="346"/>
      <c r="G163" s="252">
        <f>C163*F163</f>
        <v>0</v>
      </c>
      <c r="H163" s="252">
        <f t="shared" si="9"/>
        <v>0</v>
      </c>
      <c r="I163" s="246"/>
      <c r="J163" s="246"/>
    </row>
    <row r="164" spans="1:10" x14ac:dyDescent="0.35">
      <c r="A164" s="262" t="s">
        <v>532</v>
      </c>
      <c r="B164" s="251" t="s">
        <v>532</v>
      </c>
      <c r="C164" s="252"/>
      <c r="D164" s="252"/>
      <c r="E164" s="252"/>
      <c r="F164" s="252"/>
      <c r="G164" s="252"/>
      <c r="H164" s="252">
        <f t="shared" si="9"/>
        <v>0</v>
      </c>
      <c r="I164" s="246"/>
      <c r="J164" s="246"/>
    </row>
    <row r="165" spans="1:10" x14ac:dyDescent="0.35">
      <c r="A165" s="265" t="s">
        <v>797</v>
      </c>
      <c r="B165" s="266" t="s">
        <v>532</v>
      </c>
      <c r="C165" s="267"/>
      <c r="D165" s="267"/>
      <c r="E165" s="267"/>
      <c r="F165" s="267"/>
      <c r="G165" s="267"/>
      <c r="H165" s="267"/>
      <c r="I165" s="246"/>
      <c r="J165" s="246"/>
    </row>
    <row r="166" spans="1:10" x14ac:dyDescent="0.35">
      <c r="A166" s="262" t="s">
        <v>798</v>
      </c>
      <c r="B166" s="251" t="s">
        <v>539</v>
      </c>
      <c r="C166" s="252">
        <v>6</v>
      </c>
      <c r="D166" s="346"/>
      <c r="E166" s="252">
        <f>C166*D166</f>
        <v>0</v>
      </c>
      <c r="F166" s="346"/>
      <c r="G166" s="252">
        <f>C166*F166</f>
        <v>0</v>
      </c>
      <c r="H166" s="252">
        <f>E166+G166</f>
        <v>0</v>
      </c>
      <c r="I166" s="246"/>
      <c r="J166" s="246"/>
    </row>
    <row r="167" spans="1:10" x14ac:dyDescent="0.35">
      <c r="A167" s="262" t="s">
        <v>532</v>
      </c>
      <c r="B167" s="251" t="s">
        <v>532</v>
      </c>
      <c r="C167" s="252"/>
      <c r="D167" s="252"/>
      <c r="E167" s="252"/>
      <c r="F167" s="252"/>
      <c r="G167" s="252"/>
      <c r="H167" s="252">
        <f>E167+G167</f>
        <v>0</v>
      </c>
      <c r="I167" s="246"/>
      <c r="J167" s="246"/>
    </row>
    <row r="168" spans="1:10" x14ac:dyDescent="0.35">
      <c r="A168" s="265" t="s">
        <v>799</v>
      </c>
      <c r="B168" s="266" t="s">
        <v>532</v>
      </c>
      <c r="C168" s="267"/>
      <c r="D168" s="267"/>
      <c r="E168" s="267"/>
      <c r="F168" s="267"/>
      <c r="G168" s="267"/>
      <c r="H168" s="267"/>
      <c r="I168" s="246"/>
      <c r="J168" s="246"/>
    </row>
    <row r="169" spans="1:10" x14ac:dyDescent="0.35">
      <c r="A169" s="262" t="s">
        <v>800</v>
      </c>
      <c r="B169" s="251" t="s">
        <v>539</v>
      </c>
      <c r="C169" s="252">
        <v>95</v>
      </c>
      <c r="D169" s="346"/>
      <c r="E169" s="252">
        <f>C169*D169</f>
        <v>0</v>
      </c>
      <c r="F169" s="346"/>
      <c r="G169" s="252">
        <f>C169*F169</f>
        <v>0</v>
      </c>
      <c r="H169" s="252">
        <f>E169+G169</f>
        <v>0</v>
      </c>
      <c r="I169" s="246"/>
      <c r="J169" s="246"/>
    </row>
    <row r="170" spans="1:10" x14ac:dyDescent="0.35">
      <c r="A170" s="262" t="s">
        <v>801</v>
      </c>
      <c r="B170" s="251" t="s">
        <v>539</v>
      </c>
      <c r="C170" s="252">
        <v>3</v>
      </c>
      <c r="D170" s="346"/>
      <c r="E170" s="252">
        <f>C170*D170</f>
        <v>0</v>
      </c>
      <c r="F170" s="346"/>
      <c r="G170" s="252">
        <f>C170*F170</f>
        <v>0</v>
      </c>
      <c r="H170" s="252">
        <f>E170+G170</f>
        <v>0</v>
      </c>
      <c r="I170" s="246"/>
      <c r="J170" s="246"/>
    </row>
    <row r="171" spans="1:10" x14ac:dyDescent="0.35">
      <c r="A171" s="262" t="s">
        <v>532</v>
      </c>
      <c r="B171" s="251" t="s">
        <v>532</v>
      </c>
      <c r="C171" s="252"/>
      <c r="D171" s="252"/>
      <c r="E171" s="252"/>
      <c r="F171" s="252"/>
      <c r="G171" s="252"/>
      <c r="H171" s="252">
        <f>E171+G171</f>
        <v>0</v>
      </c>
      <c r="I171" s="246"/>
      <c r="J171" s="246"/>
    </row>
    <row r="172" spans="1:10" x14ac:dyDescent="0.35">
      <c r="A172" s="265" t="s">
        <v>802</v>
      </c>
      <c r="B172" s="266" t="s">
        <v>532</v>
      </c>
      <c r="C172" s="267"/>
      <c r="D172" s="267"/>
      <c r="E172" s="267"/>
      <c r="F172" s="267"/>
      <c r="G172" s="267"/>
      <c r="H172" s="267"/>
      <c r="I172" s="246"/>
      <c r="J172" s="246"/>
    </row>
    <row r="173" spans="1:10" ht="24" x14ac:dyDescent="0.35">
      <c r="A173" s="262" t="s">
        <v>803</v>
      </c>
      <c r="B173" s="251" t="s">
        <v>539</v>
      </c>
      <c r="C173" s="252">
        <v>1</v>
      </c>
      <c r="D173" s="346"/>
      <c r="E173" s="252">
        <f>C173*D173</f>
        <v>0</v>
      </c>
      <c r="F173" s="346"/>
      <c r="G173" s="252">
        <f>C173*F173</f>
        <v>0</v>
      </c>
      <c r="H173" s="252">
        <f>E173+G173</f>
        <v>0</v>
      </c>
      <c r="I173" s="246"/>
      <c r="J173" s="246"/>
    </row>
    <row r="174" spans="1:10" x14ac:dyDescent="0.35">
      <c r="A174" s="262" t="s">
        <v>532</v>
      </c>
      <c r="B174" s="251" t="s">
        <v>532</v>
      </c>
      <c r="C174" s="252"/>
      <c r="D174" s="252"/>
      <c r="E174" s="252"/>
      <c r="F174" s="252"/>
      <c r="G174" s="252"/>
      <c r="H174" s="252">
        <f>E174+G174</f>
        <v>0</v>
      </c>
      <c r="I174" s="246"/>
      <c r="J174" s="246"/>
    </row>
    <row r="175" spans="1:10" x14ac:dyDescent="0.35">
      <c r="A175" s="265" t="s">
        <v>804</v>
      </c>
      <c r="B175" s="266" t="s">
        <v>532</v>
      </c>
      <c r="C175" s="267"/>
      <c r="D175" s="267"/>
      <c r="E175" s="267"/>
      <c r="F175" s="267"/>
      <c r="G175" s="267"/>
      <c r="H175" s="267"/>
      <c r="I175" s="246"/>
      <c r="J175" s="246"/>
    </row>
    <row r="176" spans="1:10" ht="70" x14ac:dyDescent="0.35">
      <c r="A176" s="262" t="s">
        <v>805</v>
      </c>
      <c r="B176" s="251" t="s">
        <v>539</v>
      </c>
      <c r="C176" s="252">
        <v>20</v>
      </c>
      <c r="D176" s="346"/>
      <c r="E176" s="252">
        <f>C176*D176</f>
        <v>0</v>
      </c>
      <c r="F176" s="346"/>
      <c r="G176" s="252">
        <f>C176*F176</f>
        <v>0</v>
      </c>
      <c r="H176" s="252">
        <f>E176+G176</f>
        <v>0</v>
      </c>
      <c r="I176" s="246"/>
      <c r="J176" s="246"/>
    </row>
    <row r="177" spans="1:10" x14ac:dyDescent="0.35">
      <c r="A177" s="262" t="s">
        <v>532</v>
      </c>
      <c r="B177" s="251" t="s">
        <v>532</v>
      </c>
      <c r="C177" s="252"/>
      <c r="D177" s="252"/>
      <c r="E177" s="252"/>
      <c r="F177" s="252"/>
      <c r="G177" s="252"/>
      <c r="H177" s="252">
        <f>E177+G177</f>
        <v>0</v>
      </c>
      <c r="I177" s="246"/>
      <c r="J177" s="246"/>
    </row>
    <row r="178" spans="1:10" x14ac:dyDescent="0.35">
      <c r="A178" s="265" t="s">
        <v>806</v>
      </c>
      <c r="B178" s="266" t="s">
        <v>532</v>
      </c>
      <c r="C178" s="267"/>
      <c r="D178" s="267"/>
      <c r="E178" s="267"/>
      <c r="F178" s="267"/>
      <c r="G178" s="267"/>
      <c r="H178" s="267"/>
      <c r="I178" s="246"/>
      <c r="J178" s="246"/>
    </row>
    <row r="179" spans="1:10" x14ac:dyDescent="0.35">
      <c r="A179" s="262" t="s">
        <v>807</v>
      </c>
      <c r="B179" s="251" t="s">
        <v>539</v>
      </c>
      <c r="C179" s="252">
        <v>180</v>
      </c>
      <c r="D179" s="346"/>
      <c r="E179" s="252">
        <f>C179*D179</f>
        <v>0</v>
      </c>
      <c r="F179" s="346"/>
      <c r="G179" s="252">
        <f>C179*F179</f>
        <v>0</v>
      </c>
      <c r="H179" s="252">
        <f>E179+G179</f>
        <v>0</v>
      </c>
      <c r="I179" s="246"/>
      <c r="J179" s="246"/>
    </row>
    <row r="180" spans="1:10" x14ac:dyDescent="0.35">
      <c r="A180" s="262" t="s">
        <v>808</v>
      </c>
      <c r="B180" s="251" t="s">
        <v>539</v>
      </c>
      <c r="C180" s="252">
        <v>120</v>
      </c>
      <c r="D180" s="346"/>
      <c r="E180" s="252">
        <f>C180*D180</f>
        <v>0</v>
      </c>
      <c r="F180" s="346"/>
      <c r="G180" s="252">
        <f>C180*F180</f>
        <v>0</v>
      </c>
      <c r="H180" s="252">
        <f>E180+G180</f>
        <v>0</v>
      </c>
      <c r="I180" s="246"/>
      <c r="J180" s="246"/>
    </row>
    <row r="181" spans="1:10" x14ac:dyDescent="0.35">
      <c r="A181" s="262" t="s">
        <v>809</v>
      </c>
      <c r="B181" s="251" t="s">
        <v>539</v>
      </c>
      <c r="C181" s="252">
        <v>155</v>
      </c>
      <c r="D181" s="346"/>
      <c r="E181" s="252">
        <f>C181*D181</f>
        <v>0</v>
      </c>
      <c r="F181" s="346"/>
      <c r="G181" s="252">
        <f>C181*F181</f>
        <v>0</v>
      </c>
      <c r="H181" s="252">
        <f>E181+G181</f>
        <v>0</v>
      </c>
      <c r="I181" s="246"/>
      <c r="J181" s="246"/>
    </row>
    <row r="182" spans="1:10" x14ac:dyDescent="0.35">
      <c r="A182" s="262" t="s">
        <v>810</v>
      </c>
      <c r="B182" s="251" t="s">
        <v>539</v>
      </c>
      <c r="C182" s="252">
        <v>320</v>
      </c>
      <c r="D182" s="346"/>
      <c r="E182" s="252">
        <f>C182*D182</f>
        <v>0</v>
      </c>
      <c r="F182" s="346"/>
      <c r="G182" s="252">
        <f>C182*F182</f>
        <v>0</v>
      </c>
      <c r="H182" s="252">
        <f>E182+G182</f>
        <v>0</v>
      </c>
      <c r="I182" s="246"/>
      <c r="J182" s="246"/>
    </row>
    <row r="183" spans="1:10" x14ac:dyDescent="0.35">
      <c r="A183" s="262" t="s">
        <v>532</v>
      </c>
      <c r="B183" s="251" t="s">
        <v>532</v>
      </c>
      <c r="C183" s="252"/>
      <c r="D183" s="252"/>
      <c r="E183" s="252"/>
      <c r="F183" s="252"/>
      <c r="G183" s="252"/>
      <c r="H183" s="252">
        <f>E183+G183</f>
        <v>0</v>
      </c>
      <c r="I183" s="246"/>
      <c r="J183" s="246"/>
    </row>
    <row r="184" spans="1:10" x14ac:dyDescent="0.35">
      <c r="A184" s="265" t="s">
        <v>776</v>
      </c>
      <c r="B184" s="266" t="s">
        <v>532</v>
      </c>
      <c r="C184" s="267"/>
      <c r="D184" s="267"/>
      <c r="E184" s="267"/>
      <c r="F184" s="267"/>
      <c r="G184" s="267"/>
      <c r="H184" s="267"/>
      <c r="I184" s="246"/>
      <c r="J184" s="246"/>
    </row>
    <row r="185" spans="1:10" x14ac:dyDescent="0.35">
      <c r="A185" s="262" t="s">
        <v>811</v>
      </c>
      <c r="B185" s="251" t="s">
        <v>203</v>
      </c>
      <c r="C185" s="252">
        <v>25</v>
      </c>
      <c r="D185" s="346"/>
      <c r="E185" s="252">
        <f>C185*D185</f>
        <v>0</v>
      </c>
      <c r="F185" s="346"/>
      <c r="G185" s="252">
        <f>C185*F185</f>
        <v>0</v>
      </c>
      <c r="H185" s="252">
        <f>E185+G185</f>
        <v>0</v>
      </c>
      <c r="I185" s="246"/>
      <c r="J185" s="246"/>
    </row>
    <row r="186" spans="1:10" x14ac:dyDescent="0.35">
      <c r="A186" s="262" t="s">
        <v>777</v>
      </c>
      <c r="B186" s="251" t="s">
        <v>203</v>
      </c>
      <c r="C186" s="252">
        <v>25</v>
      </c>
      <c r="D186" s="346"/>
      <c r="E186" s="252">
        <f>C186*D186</f>
        <v>0</v>
      </c>
      <c r="F186" s="346"/>
      <c r="G186" s="252">
        <f>C186*F186</f>
        <v>0</v>
      </c>
      <c r="H186" s="252">
        <f>E186+G186</f>
        <v>0</v>
      </c>
      <c r="I186" s="246"/>
      <c r="J186" s="246"/>
    </row>
    <row r="187" spans="1:10" x14ac:dyDescent="0.35">
      <c r="A187" s="262" t="s">
        <v>812</v>
      </c>
      <c r="B187" s="251" t="s">
        <v>203</v>
      </c>
      <c r="C187" s="252">
        <v>25</v>
      </c>
      <c r="D187" s="346"/>
      <c r="E187" s="252">
        <f>C187*D187</f>
        <v>0</v>
      </c>
      <c r="F187" s="346"/>
      <c r="G187" s="252">
        <f>C187*F187</f>
        <v>0</v>
      </c>
      <c r="H187" s="252">
        <f>E187+G187</f>
        <v>0</v>
      </c>
      <c r="I187" s="246"/>
      <c r="J187" s="246"/>
    </row>
    <row r="188" spans="1:10" x14ac:dyDescent="0.35">
      <c r="A188" s="262" t="s">
        <v>813</v>
      </c>
      <c r="B188" s="251" t="s">
        <v>203</v>
      </c>
      <c r="C188" s="252">
        <v>25</v>
      </c>
      <c r="D188" s="346"/>
      <c r="E188" s="252">
        <f>C188*D188</f>
        <v>0</v>
      </c>
      <c r="F188" s="346"/>
      <c r="G188" s="252">
        <f>C188*F188</f>
        <v>0</v>
      </c>
      <c r="H188" s="252">
        <f>E188+G188</f>
        <v>0</v>
      </c>
      <c r="I188" s="246"/>
      <c r="J188" s="246"/>
    </row>
    <row r="189" spans="1:10" x14ac:dyDescent="0.35">
      <c r="A189" s="262" t="s">
        <v>532</v>
      </c>
      <c r="B189" s="251" t="s">
        <v>532</v>
      </c>
      <c r="C189" s="252"/>
      <c r="D189" s="252"/>
      <c r="E189" s="252"/>
      <c r="F189" s="252"/>
      <c r="G189" s="252"/>
      <c r="H189" s="252">
        <f>E189+G189</f>
        <v>0</v>
      </c>
      <c r="I189" s="246"/>
      <c r="J189" s="246"/>
    </row>
    <row r="190" spans="1:10" x14ac:dyDescent="0.35">
      <c r="A190" s="265" t="s">
        <v>814</v>
      </c>
      <c r="B190" s="266" t="s">
        <v>532</v>
      </c>
      <c r="C190" s="267"/>
      <c r="D190" s="267"/>
      <c r="E190" s="267"/>
      <c r="F190" s="267"/>
      <c r="G190" s="267"/>
      <c r="H190" s="267"/>
      <c r="I190" s="246"/>
      <c r="J190" s="246"/>
    </row>
    <row r="191" spans="1:10" x14ac:dyDescent="0.35">
      <c r="A191" s="262" t="s">
        <v>815</v>
      </c>
      <c r="B191" s="251" t="s">
        <v>539</v>
      </c>
      <c r="C191" s="252">
        <v>40</v>
      </c>
      <c r="D191" s="346"/>
      <c r="E191" s="252">
        <f>C191*D191</f>
        <v>0</v>
      </c>
      <c r="F191" s="346"/>
      <c r="G191" s="252">
        <f>C191*F191</f>
        <v>0</v>
      </c>
      <c r="H191" s="252">
        <f>E191+G191</f>
        <v>0</v>
      </c>
      <c r="I191" s="246"/>
      <c r="J191" s="246"/>
    </row>
    <row r="192" spans="1:10" x14ac:dyDescent="0.35">
      <c r="A192" s="262" t="s">
        <v>816</v>
      </c>
      <c r="B192" s="251" t="s">
        <v>539</v>
      </c>
      <c r="C192" s="252">
        <v>90</v>
      </c>
      <c r="D192" s="346"/>
      <c r="E192" s="252">
        <f>C192*D192</f>
        <v>0</v>
      </c>
      <c r="F192" s="346"/>
      <c r="G192" s="252">
        <f>C192*F192</f>
        <v>0</v>
      </c>
      <c r="H192" s="252">
        <f>E192+G192</f>
        <v>0</v>
      </c>
      <c r="I192" s="246"/>
      <c r="J192" s="246"/>
    </row>
    <row r="193" spans="1:10" x14ac:dyDescent="0.35">
      <c r="A193" s="262" t="s">
        <v>817</v>
      </c>
      <c r="B193" s="251" t="s">
        <v>539</v>
      </c>
      <c r="C193" s="252">
        <v>160</v>
      </c>
      <c r="D193" s="346"/>
      <c r="E193" s="252">
        <f>C193*D193</f>
        <v>0</v>
      </c>
      <c r="F193" s="346"/>
      <c r="G193" s="252">
        <f>C193*F193</f>
        <v>0</v>
      </c>
      <c r="H193" s="252">
        <f>E193+G193</f>
        <v>0</v>
      </c>
      <c r="I193" s="246"/>
      <c r="J193" s="246"/>
    </row>
    <row r="194" spans="1:10" x14ac:dyDescent="0.35">
      <c r="A194" s="262" t="s">
        <v>818</v>
      </c>
      <c r="B194" s="251" t="s">
        <v>539</v>
      </c>
      <c r="C194" s="252">
        <v>75</v>
      </c>
      <c r="D194" s="346"/>
      <c r="E194" s="252">
        <f>C194*D194</f>
        <v>0</v>
      </c>
      <c r="F194" s="346"/>
      <c r="G194" s="252">
        <f>C194*F194</f>
        <v>0</v>
      </c>
      <c r="H194" s="252">
        <f>E194+G194</f>
        <v>0</v>
      </c>
      <c r="I194" s="246"/>
      <c r="J194" s="246"/>
    </row>
    <row r="195" spans="1:10" x14ac:dyDescent="0.35">
      <c r="A195" s="262" t="s">
        <v>532</v>
      </c>
      <c r="B195" s="251" t="s">
        <v>532</v>
      </c>
      <c r="C195" s="252"/>
      <c r="D195" s="252"/>
      <c r="E195" s="252"/>
      <c r="F195" s="252"/>
      <c r="G195" s="252"/>
      <c r="H195" s="252">
        <f>E195+G195</f>
        <v>0</v>
      </c>
      <c r="I195" s="246"/>
      <c r="J195" s="246"/>
    </row>
    <row r="196" spans="1:10" ht="26.5" x14ac:dyDescent="0.35">
      <c r="A196" s="265" t="s">
        <v>819</v>
      </c>
      <c r="B196" s="266" t="s">
        <v>532</v>
      </c>
      <c r="C196" s="267"/>
      <c r="D196" s="267"/>
      <c r="E196" s="267"/>
      <c r="F196" s="267"/>
      <c r="G196" s="267"/>
      <c r="H196" s="267"/>
      <c r="I196" s="246"/>
      <c r="J196" s="246"/>
    </row>
    <row r="197" spans="1:10" x14ac:dyDescent="0.35">
      <c r="A197" s="262" t="s">
        <v>820</v>
      </c>
      <c r="B197" s="251" t="s">
        <v>539</v>
      </c>
      <c r="C197" s="252">
        <v>1090</v>
      </c>
      <c r="D197" s="252">
        <v>0</v>
      </c>
      <c r="E197" s="252">
        <f>C197*D197</f>
        <v>0</v>
      </c>
      <c r="F197" s="346"/>
      <c r="G197" s="252">
        <f>C197*F197</f>
        <v>0</v>
      </c>
      <c r="H197" s="252">
        <f>E197+G197</f>
        <v>0</v>
      </c>
      <c r="I197" s="246"/>
      <c r="J197" s="246"/>
    </row>
    <row r="198" spans="1:10" x14ac:dyDescent="0.35">
      <c r="A198" s="262" t="s">
        <v>821</v>
      </c>
      <c r="B198" s="251" t="s">
        <v>539</v>
      </c>
      <c r="C198" s="252">
        <v>16</v>
      </c>
      <c r="D198" s="252">
        <v>0</v>
      </c>
      <c r="E198" s="252">
        <f>C198*D198</f>
        <v>0</v>
      </c>
      <c r="F198" s="346"/>
      <c r="G198" s="252">
        <f>C198*F198</f>
        <v>0</v>
      </c>
      <c r="H198" s="252">
        <f>E198+G198</f>
        <v>0</v>
      </c>
      <c r="I198" s="246"/>
      <c r="J198" s="246"/>
    </row>
    <row r="199" spans="1:10" x14ac:dyDescent="0.35">
      <c r="A199" s="262" t="s">
        <v>532</v>
      </c>
      <c r="B199" s="251" t="s">
        <v>532</v>
      </c>
      <c r="C199" s="252"/>
      <c r="D199" s="252"/>
      <c r="E199" s="252"/>
      <c r="F199" s="252"/>
      <c r="G199" s="252"/>
      <c r="H199" s="252">
        <f>E199+G199</f>
        <v>0</v>
      </c>
      <c r="I199" s="246"/>
      <c r="J199" s="246"/>
    </row>
    <row r="200" spans="1:10" x14ac:dyDescent="0.35">
      <c r="A200" s="265" t="s">
        <v>822</v>
      </c>
      <c r="B200" s="266" t="s">
        <v>532</v>
      </c>
      <c r="C200" s="267"/>
      <c r="D200" s="267"/>
      <c r="E200" s="267"/>
      <c r="F200" s="267"/>
      <c r="G200" s="267"/>
      <c r="H200" s="267"/>
      <c r="I200" s="246"/>
      <c r="J200" s="246"/>
    </row>
    <row r="201" spans="1:10" x14ac:dyDescent="0.35">
      <c r="A201" s="265" t="s">
        <v>823</v>
      </c>
      <c r="B201" s="266" t="s">
        <v>532</v>
      </c>
      <c r="C201" s="267"/>
      <c r="D201" s="267"/>
      <c r="E201" s="267"/>
      <c r="F201" s="267"/>
      <c r="G201" s="267"/>
      <c r="H201" s="267"/>
      <c r="I201" s="246"/>
      <c r="J201" s="246"/>
    </row>
    <row r="202" spans="1:10" x14ac:dyDescent="0.35">
      <c r="A202" s="262" t="s">
        <v>824</v>
      </c>
      <c r="B202" s="251" t="s">
        <v>539</v>
      </c>
      <c r="C202" s="252">
        <v>95</v>
      </c>
      <c r="D202" s="346"/>
      <c r="E202" s="252">
        <f>C202*D202</f>
        <v>0</v>
      </c>
      <c r="F202" s="346"/>
      <c r="G202" s="252">
        <f>C202*F202</f>
        <v>0</v>
      </c>
      <c r="H202" s="252">
        <f>E202+G202</f>
        <v>0</v>
      </c>
      <c r="I202" s="246"/>
      <c r="J202" s="246"/>
    </row>
    <row r="203" spans="1:10" x14ac:dyDescent="0.35">
      <c r="A203" s="262" t="s">
        <v>532</v>
      </c>
      <c r="B203" s="251" t="s">
        <v>532</v>
      </c>
      <c r="C203" s="252"/>
      <c r="D203" s="252"/>
      <c r="E203" s="252"/>
      <c r="F203" s="252"/>
      <c r="G203" s="252"/>
      <c r="H203" s="252">
        <f>E203+G203</f>
        <v>0</v>
      </c>
      <c r="I203" s="246"/>
      <c r="J203" s="246"/>
    </row>
    <row r="204" spans="1:10" x14ac:dyDescent="0.35">
      <c r="A204" s="265" t="s">
        <v>825</v>
      </c>
      <c r="B204" s="266" t="s">
        <v>532</v>
      </c>
      <c r="C204" s="267"/>
      <c r="D204" s="267"/>
      <c r="E204" s="267"/>
      <c r="F204" s="267"/>
      <c r="G204" s="267"/>
      <c r="H204" s="267"/>
      <c r="I204" s="246"/>
      <c r="J204" s="246"/>
    </row>
    <row r="205" spans="1:10" x14ac:dyDescent="0.35">
      <c r="A205" s="265" t="s">
        <v>826</v>
      </c>
      <c r="B205" s="266" t="s">
        <v>532</v>
      </c>
      <c r="C205" s="267"/>
      <c r="D205" s="267"/>
      <c r="E205" s="267"/>
      <c r="F205" s="267"/>
      <c r="G205" s="267"/>
      <c r="H205" s="267"/>
      <c r="I205" s="246"/>
      <c r="J205" s="246"/>
    </row>
    <row r="206" spans="1:10" x14ac:dyDescent="0.35">
      <c r="A206" s="262" t="s">
        <v>827</v>
      </c>
      <c r="B206" s="251" t="s">
        <v>203</v>
      </c>
      <c r="C206" s="252">
        <v>150</v>
      </c>
      <c r="D206" s="346"/>
      <c r="E206" s="252">
        <f>C206*D206</f>
        <v>0</v>
      </c>
      <c r="F206" s="346"/>
      <c r="G206" s="252">
        <f>C206*F206</f>
        <v>0</v>
      </c>
      <c r="H206" s="252">
        <f>E206+G206</f>
        <v>0</v>
      </c>
      <c r="I206" s="246"/>
      <c r="J206" s="246"/>
    </row>
    <row r="207" spans="1:10" x14ac:dyDescent="0.35">
      <c r="A207" s="262" t="s">
        <v>828</v>
      </c>
      <c r="B207" s="251" t="s">
        <v>203</v>
      </c>
      <c r="C207" s="252">
        <v>50</v>
      </c>
      <c r="D207" s="346"/>
      <c r="E207" s="252">
        <f>C207*D207</f>
        <v>0</v>
      </c>
      <c r="F207" s="346"/>
      <c r="G207" s="252">
        <f>C207*F207</f>
        <v>0</v>
      </c>
      <c r="H207" s="252">
        <f>E207+G207</f>
        <v>0</v>
      </c>
      <c r="I207" s="246"/>
      <c r="J207" s="246"/>
    </row>
    <row r="208" spans="1:10" x14ac:dyDescent="0.35">
      <c r="A208" s="262" t="s">
        <v>532</v>
      </c>
      <c r="B208" s="251" t="s">
        <v>532</v>
      </c>
      <c r="C208" s="252"/>
      <c r="D208" s="252"/>
      <c r="E208" s="252"/>
      <c r="F208" s="252"/>
      <c r="G208" s="252"/>
      <c r="H208" s="252">
        <f>E208+G208</f>
        <v>0</v>
      </c>
      <c r="I208" s="246"/>
      <c r="J208" s="246"/>
    </row>
    <row r="209" spans="1:10" x14ac:dyDescent="0.35">
      <c r="A209" s="265" t="s">
        <v>825</v>
      </c>
      <c r="B209" s="266" t="s">
        <v>532</v>
      </c>
      <c r="C209" s="267"/>
      <c r="D209" s="267"/>
      <c r="E209" s="267"/>
      <c r="F209" s="267"/>
      <c r="G209" s="267"/>
      <c r="H209" s="267"/>
      <c r="I209" s="246"/>
      <c r="J209" s="246"/>
    </row>
    <row r="210" spans="1:10" x14ac:dyDescent="0.35">
      <c r="A210" s="265" t="s">
        <v>829</v>
      </c>
      <c r="B210" s="266" t="s">
        <v>532</v>
      </c>
      <c r="C210" s="267"/>
      <c r="D210" s="267"/>
      <c r="E210" s="267"/>
      <c r="F210" s="267"/>
      <c r="G210" s="267"/>
      <c r="H210" s="267"/>
      <c r="I210" s="246"/>
      <c r="J210" s="246"/>
    </row>
    <row r="211" spans="1:10" x14ac:dyDescent="0.35">
      <c r="A211" s="262" t="s">
        <v>828</v>
      </c>
      <c r="B211" s="251" t="s">
        <v>203</v>
      </c>
      <c r="C211" s="252">
        <v>30</v>
      </c>
      <c r="D211" s="346"/>
      <c r="E211" s="252">
        <f>C211*D211</f>
        <v>0</v>
      </c>
      <c r="F211" s="346"/>
      <c r="G211" s="252">
        <f>C211*F211</f>
        <v>0</v>
      </c>
      <c r="H211" s="252">
        <f>E211+G211</f>
        <v>0</v>
      </c>
      <c r="I211" s="246"/>
      <c r="J211" s="246"/>
    </row>
    <row r="212" spans="1:10" x14ac:dyDescent="0.35">
      <c r="A212" s="262" t="s">
        <v>532</v>
      </c>
      <c r="B212" s="251" t="s">
        <v>532</v>
      </c>
      <c r="C212" s="252"/>
      <c r="D212" s="252"/>
      <c r="E212" s="252"/>
      <c r="F212" s="252"/>
      <c r="G212" s="252"/>
      <c r="H212" s="252">
        <f>E212+G212</f>
        <v>0</v>
      </c>
      <c r="I212" s="246"/>
      <c r="J212" s="246"/>
    </row>
    <row r="213" spans="1:10" x14ac:dyDescent="0.35">
      <c r="A213" s="265" t="s">
        <v>830</v>
      </c>
      <c r="B213" s="266" t="s">
        <v>532</v>
      </c>
      <c r="C213" s="267"/>
      <c r="D213" s="267"/>
      <c r="E213" s="267"/>
      <c r="F213" s="267"/>
      <c r="G213" s="267"/>
      <c r="H213" s="267"/>
      <c r="I213" s="246"/>
      <c r="J213" s="246"/>
    </row>
    <row r="214" spans="1:10" x14ac:dyDescent="0.35">
      <c r="A214" s="262" t="s">
        <v>831</v>
      </c>
      <c r="B214" s="251" t="s">
        <v>139</v>
      </c>
      <c r="C214" s="252">
        <v>10.1</v>
      </c>
      <c r="D214" s="346"/>
      <c r="E214" s="252">
        <f>C214*D214</f>
        <v>0</v>
      </c>
      <c r="F214" s="346"/>
      <c r="G214" s="252">
        <f>C214*F214</f>
        <v>0</v>
      </c>
      <c r="H214" s="252">
        <f>E214+G214</f>
        <v>0</v>
      </c>
      <c r="I214" s="246"/>
      <c r="J214" s="246"/>
    </row>
    <row r="215" spans="1:10" x14ac:dyDescent="0.35">
      <c r="A215" s="262" t="s">
        <v>832</v>
      </c>
      <c r="B215" s="251" t="s">
        <v>833</v>
      </c>
      <c r="C215" s="252">
        <v>30</v>
      </c>
      <c r="D215" s="346"/>
      <c r="E215" s="252">
        <f>C215*D215</f>
        <v>0</v>
      </c>
      <c r="F215" s="346"/>
      <c r="G215" s="252">
        <f>C215*F215</f>
        <v>0</v>
      </c>
      <c r="H215" s="252">
        <f>E215+G215</f>
        <v>0</v>
      </c>
      <c r="I215" s="246"/>
      <c r="J215" s="246"/>
    </row>
    <row r="216" spans="1:10" x14ac:dyDescent="0.35">
      <c r="A216" s="262" t="s">
        <v>532</v>
      </c>
      <c r="B216" s="251" t="s">
        <v>532</v>
      </c>
      <c r="C216" s="252"/>
      <c r="D216" s="252"/>
      <c r="E216" s="252"/>
      <c r="F216" s="252"/>
      <c r="G216" s="252"/>
      <c r="H216" s="252">
        <f>E216+G216</f>
        <v>0</v>
      </c>
      <c r="I216" s="246"/>
      <c r="J216" s="246"/>
    </row>
    <row r="217" spans="1:10" x14ac:dyDescent="0.35">
      <c r="A217" s="265" t="s">
        <v>834</v>
      </c>
      <c r="B217" s="266" t="s">
        <v>532</v>
      </c>
      <c r="C217" s="267"/>
      <c r="D217" s="267"/>
      <c r="E217" s="267"/>
      <c r="F217" s="267"/>
      <c r="G217" s="267"/>
      <c r="H217" s="267"/>
      <c r="I217" s="246"/>
      <c r="J217" s="246"/>
    </row>
    <row r="218" spans="1:10" x14ac:dyDescent="0.35">
      <c r="A218" s="262" t="s">
        <v>835</v>
      </c>
      <c r="B218" s="251" t="s">
        <v>139</v>
      </c>
      <c r="C218" s="252">
        <v>225</v>
      </c>
      <c r="D218" s="346"/>
      <c r="E218" s="252">
        <f>C218*D218</f>
        <v>0</v>
      </c>
      <c r="F218" s="346"/>
      <c r="G218" s="252">
        <f>C218*F218</f>
        <v>0</v>
      </c>
      <c r="H218" s="252">
        <f>E218+G218</f>
        <v>0</v>
      </c>
      <c r="I218" s="246"/>
      <c r="J218" s="246"/>
    </row>
    <row r="219" spans="1:10" x14ac:dyDescent="0.35">
      <c r="A219" s="262" t="s">
        <v>532</v>
      </c>
      <c r="B219" s="251" t="s">
        <v>532</v>
      </c>
      <c r="C219" s="252"/>
      <c r="D219" s="252"/>
      <c r="E219" s="252"/>
      <c r="F219" s="252"/>
      <c r="G219" s="252"/>
      <c r="H219" s="252">
        <f>E219+G219</f>
        <v>0</v>
      </c>
      <c r="I219" s="246"/>
      <c r="J219" s="246"/>
    </row>
    <row r="220" spans="1:10" x14ac:dyDescent="0.35">
      <c r="A220" s="265" t="s">
        <v>836</v>
      </c>
      <c r="B220" s="266" t="s">
        <v>532</v>
      </c>
      <c r="C220" s="267"/>
      <c r="D220" s="267"/>
      <c r="E220" s="267"/>
      <c r="F220" s="267"/>
      <c r="G220" s="267"/>
      <c r="H220" s="267"/>
      <c r="I220" s="246"/>
      <c r="J220" s="246"/>
    </row>
    <row r="221" spans="1:10" x14ac:dyDescent="0.35">
      <c r="A221" s="265" t="s">
        <v>837</v>
      </c>
      <c r="B221" s="266" t="s">
        <v>532</v>
      </c>
      <c r="C221" s="267"/>
      <c r="D221" s="267"/>
      <c r="E221" s="267"/>
      <c r="F221" s="267"/>
      <c r="G221" s="267"/>
      <c r="H221" s="267"/>
      <c r="I221" s="246"/>
      <c r="J221" s="246"/>
    </row>
    <row r="222" spans="1:10" x14ac:dyDescent="0.35">
      <c r="A222" s="262" t="s">
        <v>838</v>
      </c>
      <c r="B222" s="251" t="s">
        <v>139</v>
      </c>
      <c r="C222" s="252">
        <v>35</v>
      </c>
      <c r="D222" s="346"/>
      <c r="E222" s="252">
        <f>C222*D222</f>
        <v>0</v>
      </c>
      <c r="F222" s="346"/>
      <c r="G222" s="252">
        <f>C222*F222</f>
        <v>0</v>
      </c>
      <c r="H222" s="252">
        <f>E222+G222</f>
        <v>0</v>
      </c>
      <c r="I222" s="246"/>
      <c r="J222" s="246"/>
    </row>
    <row r="223" spans="1:10" x14ac:dyDescent="0.35">
      <c r="A223" s="262" t="s">
        <v>532</v>
      </c>
      <c r="B223" s="251" t="s">
        <v>532</v>
      </c>
      <c r="C223" s="252"/>
      <c r="D223" s="252"/>
      <c r="E223" s="252"/>
      <c r="F223" s="252"/>
      <c r="G223" s="252"/>
      <c r="H223" s="252">
        <f>E223+G223</f>
        <v>0</v>
      </c>
      <c r="I223" s="246"/>
      <c r="J223" s="246"/>
    </row>
    <row r="224" spans="1:10" x14ac:dyDescent="0.35">
      <c r="A224" s="265" t="s">
        <v>839</v>
      </c>
      <c r="B224" s="266" t="s">
        <v>532</v>
      </c>
      <c r="C224" s="267"/>
      <c r="D224" s="267"/>
      <c r="E224" s="267"/>
      <c r="F224" s="267"/>
      <c r="G224" s="267"/>
      <c r="H224" s="267"/>
      <c r="I224" s="246"/>
      <c r="J224" s="246"/>
    </row>
    <row r="225" spans="1:10" x14ac:dyDescent="0.35">
      <c r="A225" s="262" t="s">
        <v>840</v>
      </c>
      <c r="B225" s="251" t="s">
        <v>139</v>
      </c>
      <c r="C225" s="252">
        <v>0.5</v>
      </c>
      <c r="D225" s="346"/>
      <c r="E225" s="252">
        <f>C225*D225</f>
        <v>0</v>
      </c>
      <c r="F225" s="346"/>
      <c r="G225" s="252">
        <f>C225*F225</f>
        <v>0</v>
      </c>
      <c r="H225" s="252">
        <f>E225+G225</f>
        <v>0</v>
      </c>
      <c r="I225" s="246"/>
      <c r="J225" s="246"/>
    </row>
    <row r="226" spans="1:10" x14ac:dyDescent="0.35">
      <c r="A226" s="262" t="s">
        <v>532</v>
      </c>
      <c r="B226" s="251" t="s">
        <v>532</v>
      </c>
      <c r="C226" s="252"/>
      <c r="D226" s="252"/>
      <c r="E226" s="252"/>
      <c r="F226" s="252"/>
      <c r="G226" s="252"/>
      <c r="H226" s="252">
        <f>E226+G226</f>
        <v>0</v>
      </c>
      <c r="I226" s="246"/>
      <c r="J226" s="246"/>
    </row>
    <row r="227" spans="1:10" x14ac:dyDescent="0.35">
      <c r="A227" s="265" t="s">
        <v>841</v>
      </c>
      <c r="B227" s="266" t="s">
        <v>532</v>
      </c>
      <c r="C227" s="267"/>
      <c r="D227" s="267"/>
      <c r="E227" s="267"/>
      <c r="F227" s="267"/>
      <c r="G227" s="267"/>
      <c r="H227" s="267"/>
      <c r="I227" s="246"/>
      <c r="J227" s="246"/>
    </row>
    <row r="228" spans="1:10" ht="24" x14ac:dyDescent="0.35">
      <c r="A228" s="262" t="s">
        <v>842</v>
      </c>
      <c r="B228" s="251" t="s">
        <v>697</v>
      </c>
      <c r="C228" s="252">
        <v>1</v>
      </c>
      <c r="D228" s="346"/>
      <c r="E228" s="252">
        <f>C228*D228</f>
        <v>0</v>
      </c>
      <c r="F228" s="346"/>
      <c r="G228" s="252">
        <f>C228*F228</f>
        <v>0</v>
      </c>
      <c r="H228" s="252">
        <f>E228+G228</f>
        <v>0</v>
      </c>
      <c r="I228" s="246"/>
      <c r="J228" s="246"/>
    </row>
    <row r="229" spans="1:10" x14ac:dyDescent="0.35">
      <c r="A229" s="262" t="s">
        <v>532</v>
      </c>
      <c r="B229" s="251" t="s">
        <v>532</v>
      </c>
      <c r="C229" s="252"/>
      <c r="D229" s="252"/>
      <c r="E229" s="252"/>
      <c r="F229" s="252"/>
      <c r="G229" s="252"/>
      <c r="H229" s="252">
        <f>E229+G229</f>
        <v>0</v>
      </c>
      <c r="I229" s="246"/>
      <c r="J229" s="246"/>
    </row>
    <row r="230" spans="1:10" x14ac:dyDescent="0.35">
      <c r="A230" s="265" t="s">
        <v>843</v>
      </c>
      <c r="B230" s="266" t="s">
        <v>532</v>
      </c>
      <c r="C230" s="267"/>
      <c r="D230" s="267"/>
      <c r="E230" s="267"/>
      <c r="F230" s="267"/>
      <c r="G230" s="267"/>
      <c r="H230" s="267"/>
      <c r="I230" s="246"/>
      <c r="J230" s="246"/>
    </row>
    <row r="231" spans="1:10" ht="24" x14ac:dyDescent="0.35">
      <c r="A231" s="262" t="s">
        <v>844</v>
      </c>
      <c r="B231" s="251" t="s">
        <v>207</v>
      </c>
      <c r="C231" s="252">
        <v>1</v>
      </c>
      <c r="D231" s="346"/>
      <c r="E231" s="252">
        <f>C231*D231</f>
        <v>0</v>
      </c>
      <c r="F231" s="346"/>
      <c r="G231" s="252">
        <f>C231*F231</f>
        <v>0</v>
      </c>
      <c r="H231" s="252">
        <f>E231+G231</f>
        <v>0</v>
      </c>
      <c r="I231" s="246"/>
      <c r="J231" s="246"/>
    </row>
    <row r="232" spans="1:10" x14ac:dyDescent="0.35">
      <c r="A232" s="262" t="s">
        <v>532</v>
      </c>
      <c r="B232" s="251" t="s">
        <v>532</v>
      </c>
      <c r="C232" s="252"/>
      <c r="D232" s="252"/>
      <c r="E232" s="252"/>
      <c r="F232" s="252"/>
      <c r="G232" s="252"/>
      <c r="H232" s="252">
        <f>E232+G232</f>
        <v>0</v>
      </c>
      <c r="I232" s="246"/>
      <c r="J232" s="246"/>
    </row>
    <row r="233" spans="1:10" ht="39" x14ac:dyDescent="0.35">
      <c r="A233" s="268" t="s">
        <v>845</v>
      </c>
      <c r="B233" s="266" t="s">
        <v>532</v>
      </c>
      <c r="C233" s="267"/>
      <c r="D233" s="267"/>
      <c r="E233" s="267"/>
      <c r="F233" s="267"/>
      <c r="G233" s="267"/>
      <c r="H233" s="267"/>
      <c r="I233" s="246"/>
      <c r="J233" s="246"/>
    </row>
    <row r="234" spans="1:10" ht="24" x14ac:dyDescent="0.35">
      <c r="A234" s="262" t="s">
        <v>846</v>
      </c>
      <c r="B234" s="251" t="s">
        <v>693</v>
      </c>
      <c r="C234" s="252">
        <v>20</v>
      </c>
      <c r="D234" s="252">
        <v>0</v>
      </c>
      <c r="E234" s="252">
        <f>C234*D234</f>
        <v>0</v>
      </c>
      <c r="F234" s="346"/>
      <c r="G234" s="252">
        <f>C234*F234</f>
        <v>0</v>
      </c>
      <c r="H234" s="252">
        <f>E234+G234</f>
        <v>0</v>
      </c>
      <c r="I234" s="246"/>
      <c r="J234" s="246"/>
    </row>
    <row r="235" spans="1:10" ht="24" x14ac:dyDescent="0.35">
      <c r="A235" s="262" t="s">
        <v>847</v>
      </c>
      <c r="B235" s="251" t="s">
        <v>693</v>
      </c>
      <c r="C235" s="252">
        <v>6</v>
      </c>
      <c r="D235" s="252">
        <v>0</v>
      </c>
      <c r="E235" s="252">
        <f>C235*D235</f>
        <v>0</v>
      </c>
      <c r="F235" s="346"/>
      <c r="G235" s="252">
        <f>C235*F235</f>
        <v>0</v>
      </c>
      <c r="H235" s="252">
        <f>E235+G235</f>
        <v>0</v>
      </c>
      <c r="I235" s="246"/>
      <c r="J235" s="246"/>
    </row>
    <row r="236" spans="1:10" ht="24" x14ac:dyDescent="0.35">
      <c r="A236" s="262" t="s">
        <v>848</v>
      </c>
      <c r="B236" s="251" t="s">
        <v>693</v>
      </c>
      <c r="C236" s="252">
        <v>6</v>
      </c>
      <c r="D236" s="252">
        <v>0</v>
      </c>
      <c r="E236" s="252">
        <f>C236*D236</f>
        <v>0</v>
      </c>
      <c r="F236" s="346"/>
      <c r="G236" s="252">
        <f>C236*F236</f>
        <v>0</v>
      </c>
      <c r="H236" s="252">
        <f>E236+G236</f>
        <v>0</v>
      </c>
      <c r="I236" s="246"/>
      <c r="J236" s="246"/>
    </row>
    <row r="237" spans="1:10" x14ac:dyDescent="0.35">
      <c r="A237" s="262" t="s">
        <v>849</v>
      </c>
      <c r="B237" s="251" t="s">
        <v>693</v>
      </c>
      <c r="C237" s="252">
        <v>4</v>
      </c>
      <c r="D237" s="252">
        <v>0</v>
      </c>
      <c r="E237" s="252">
        <f>C237*D237</f>
        <v>0</v>
      </c>
      <c r="F237" s="346"/>
      <c r="G237" s="252">
        <f>C237*F237</f>
        <v>0</v>
      </c>
      <c r="H237" s="252">
        <f>E237+G237</f>
        <v>0</v>
      </c>
      <c r="I237" s="246"/>
      <c r="J237" s="246"/>
    </row>
    <row r="238" spans="1:10" x14ac:dyDescent="0.35">
      <c r="A238" s="262" t="s">
        <v>532</v>
      </c>
      <c r="B238" s="251" t="s">
        <v>532</v>
      </c>
      <c r="C238" s="252"/>
      <c r="D238" s="252"/>
      <c r="E238" s="252"/>
      <c r="F238" s="252"/>
      <c r="G238" s="252"/>
      <c r="H238" s="252">
        <f>E238+G238</f>
        <v>0</v>
      </c>
      <c r="I238" s="246"/>
      <c r="J238" s="246"/>
    </row>
    <row r="239" spans="1:10" x14ac:dyDescent="0.35">
      <c r="A239" s="265" t="s">
        <v>788</v>
      </c>
      <c r="B239" s="266" t="s">
        <v>532</v>
      </c>
      <c r="C239" s="267"/>
      <c r="D239" s="267"/>
      <c r="E239" s="267"/>
      <c r="F239" s="267"/>
      <c r="G239" s="267"/>
      <c r="H239" s="267"/>
      <c r="I239" s="246"/>
      <c r="J239" s="246"/>
    </row>
    <row r="240" spans="1:10" ht="24" x14ac:dyDescent="0.35">
      <c r="A240" s="262" t="s">
        <v>850</v>
      </c>
      <c r="B240" s="251" t="s">
        <v>207</v>
      </c>
      <c r="C240" s="252">
        <v>1</v>
      </c>
      <c r="D240" s="252">
        <v>0</v>
      </c>
      <c r="E240" s="252">
        <f>C240*D240</f>
        <v>0</v>
      </c>
      <c r="F240" s="346"/>
      <c r="G240" s="252">
        <f>C240*F240</f>
        <v>0</v>
      </c>
      <c r="H240" s="252">
        <f>E240+G240</f>
        <v>0</v>
      </c>
      <c r="I240" s="246"/>
      <c r="J240" s="246"/>
    </row>
    <row r="241" spans="1:10" x14ac:dyDescent="0.35">
      <c r="A241" s="262" t="s">
        <v>851</v>
      </c>
      <c r="B241" s="251" t="s">
        <v>539</v>
      </c>
      <c r="C241" s="252">
        <v>3</v>
      </c>
      <c r="D241" s="346"/>
      <c r="E241" s="252">
        <f>C241*D241</f>
        <v>0</v>
      </c>
      <c r="F241" s="346"/>
      <c r="G241" s="252">
        <f>C241*F241</f>
        <v>0</v>
      </c>
      <c r="H241" s="252">
        <f>E241+G241</f>
        <v>0</v>
      </c>
      <c r="I241" s="246"/>
      <c r="J241" s="246"/>
    </row>
    <row r="242" spans="1:10" ht="24" x14ac:dyDescent="0.35">
      <c r="A242" s="262" t="s">
        <v>852</v>
      </c>
      <c r="B242" s="251" t="s">
        <v>207</v>
      </c>
      <c r="C242" s="252">
        <v>1</v>
      </c>
      <c r="D242" s="346"/>
      <c r="E242" s="252">
        <f>C242*D242</f>
        <v>0</v>
      </c>
      <c r="F242" s="346"/>
      <c r="G242" s="252">
        <f>C242*F242</f>
        <v>0</v>
      </c>
      <c r="H242" s="252">
        <f>E242+G242</f>
        <v>0</v>
      </c>
      <c r="I242" s="246"/>
      <c r="J242" s="246"/>
    </row>
    <row r="243" spans="1:10" x14ac:dyDescent="0.35">
      <c r="A243" s="262" t="s">
        <v>532</v>
      </c>
      <c r="B243" s="251" t="s">
        <v>532</v>
      </c>
      <c r="C243" s="252"/>
      <c r="D243" s="252"/>
      <c r="E243" s="252"/>
      <c r="F243" s="252"/>
      <c r="G243" s="252"/>
      <c r="H243" s="252">
        <f>E243+G243</f>
        <v>0</v>
      </c>
      <c r="I243" s="246"/>
      <c r="J243" s="246"/>
    </row>
    <row r="244" spans="1:10" x14ac:dyDescent="0.35">
      <c r="A244" s="265" t="s">
        <v>853</v>
      </c>
      <c r="B244" s="266" t="s">
        <v>532</v>
      </c>
      <c r="C244" s="267"/>
      <c r="D244" s="267"/>
      <c r="E244" s="267"/>
      <c r="F244" s="267"/>
      <c r="G244" s="267"/>
      <c r="H244" s="267"/>
      <c r="I244" s="246"/>
      <c r="J244" s="246"/>
    </row>
    <row r="245" spans="1:10" x14ac:dyDescent="0.35">
      <c r="A245" s="262" t="s">
        <v>854</v>
      </c>
      <c r="B245" s="251" t="s">
        <v>693</v>
      </c>
      <c r="C245" s="252">
        <v>2</v>
      </c>
      <c r="D245" s="252">
        <v>0</v>
      </c>
      <c r="E245" s="252">
        <f t="shared" ref="E245:E253" si="10">C245*D245</f>
        <v>0</v>
      </c>
      <c r="F245" s="346"/>
      <c r="G245" s="252">
        <f t="shared" ref="G245:G253" si="11">C245*F245</f>
        <v>0</v>
      </c>
      <c r="H245" s="252">
        <f t="shared" ref="H245:H254" si="12">E245+G245</f>
        <v>0</v>
      </c>
      <c r="I245" s="246"/>
      <c r="J245" s="246"/>
    </row>
    <row r="246" spans="1:10" x14ac:dyDescent="0.35">
      <c r="A246" s="262" t="s">
        <v>855</v>
      </c>
      <c r="B246" s="251" t="s">
        <v>693</v>
      </c>
      <c r="C246" s="252">
        <v>50</v>
      </c>
      <c r="D246" s="252">
        <v>0</v>
      </c>
      <c r="E246" s="252">
        <f t="shared" si="10"/>
        <v>0</v>
      </c>
      <c r="F246" s="346"/>
      <c r="G246" s="252">
        <f t="shared" si="11"/>
        <v>0</v>
      </c>
      <c r="H246" s="252">
        <f t="shared" si="12"/>
        <v>0</v>
      </c>
      <c r="I246" s="246"/>
      <c r="J246" s="246"/>
    </row>
    <row r="247" spans="1:10" x14ac:dyDescent="0.35">
      <c r="A247" s="262" t="s">
        <v>856</v>
      </c>
      <c r="B247" s="251" t="s">
        <v>693</v>
      </c>
      <c r="C247" s="252">
        <v>4</v>
      </c>
      <c r="D247" s="252">
        <v>0</v>
      </c>
      <c r="E247" s="252">
        <f t="shared" si="10"/>
        <v>0</v>
      </c>
      <c r="F247" s="346"/>
      <c r="G247" s="252">
        <f t="shared" si="11"/>
        <v>0</v>
      </c>
      <c r="H247" s="252">
        <f t="shared" si="12"/>
        <v>0</v>
      </c>
      <c r="I247" s="246"/>
      <c r="J247" s="246"/>
    </row>
    <row r="248" spans="1:10" x14ac:dyDescent="0.35">
      <c r="A248" s="262" t="s">
        <v>857</v>
      </c>
      <c r="B248" s="251" t="s">
        <v>693</v>
      </c>
      <c r="C248" s="252">
        <v>2</v>
      </c>
      <c r="D248" s="252">
        <v>0</v>
      </c>
      <c r="E248" s="252">
        <f t="shared" si="10"/>
        <v>0</v>
      </c>
      <c r="F248" s="346"/>
      <c r="G248" s="252">
        <f t="shared" si="11"/>
        <v>0</v>
      </c>
      <c r="H248" s="252">
        <f t="shared" si="12"/>
        <v>0</v>
      </c>
      <c r="I248" s="246"/>
      <c r="J248" s="246"/>
    </row>
    <row r="249" spans="1:10" x14ac:dyDescent="0.35">
      <c r="A249" s="262" t="s">
        <v>858</v>
      </c>
      <c r="B249" s="251" t="s">
        <v>693</v>
      </c>
      <c r="C249" s="252">
        <v>2</v>
      </c>
      <c r="D249" s="252">
        <v>0</v>
      </c>
      <c r="E249" s="252">
        <f t="shared" si="10"/>
        <v>0</v>
      </c>
      <c r="F249" s="346"/>
      <c r="G249" s="252">
        <f t="shared" si="11"/>
        <v>0</v>
      </c>
      <c r="H249" s="252">
        <f t="shared" si="12"/>
        <v>0</v>
      </c>
      <c r="I249" s="246"/>
      <c r="J249" s="246"/>
    </row>
    <row r="250" spans="1:10" x14ac:dyDescent="0.35">
      <c r="A250" s="262" t="s">
        <v>859</v>
      </c>
      <c r="B250" s="251" t="s">
        <v>693</v>
      </c>
      <c r="C250" s="252">
        <v>2</v>
      </c>
      <c r="D250" s="252">
        <v>0</v>
      </c>
      <c r="E250" s="252">
        <f t="shared" si="10"/>
        <v>0</v>
      </c>
      <c r="F250" s="346"/>
      <c r="G250" s="252">
        <f t="shared" si="11"/>
        <v>0</v>
      </c>
      <c r="H250" s="252">
        <f t="shared" si="12"/>
        <v>0</v>
      </c>
      <c r="I250" s="246"/>
      <c r="J250" s="246"/>
    </row>
    <row r="251" spans="1:10" x14ac:dyDescent="0.35">
      <c r="A251" s="262" t="s">
        <v>860</v>
      </c>
      <c r="B251" s="251" t="s">
        <v>693</v>
      </c>
      <c r="C251" s="252">
        <v>10</v>
      </c>
      <c r="D251" s="252">
        <v>0</v>
      </c>
      <c r="E251" s="252">
        <f t="shared" si="10"/>
        <v>0</v>
      </c>
      <c r="F251" s="346"/>
      <c r="G251" s="252">
        <f t="shared" si="11"/>
        <v>0</v>
      </c>
      <c r="H251" s="252">
        <f t="shared" si="12"/>
        <v>0</v>
      </c>
      <c r="I251" s="246"/>
      <c r="J251" s="246"/>
    </row>
    <row r="252" spans="1:10" ht="24" x14ac:dyDescent="0.35">
      <c r="A252" s="262" t="s">
        <v>861</v>
      </c>
      <c r="B252" s="251" t="s">
        <v>693</v>
      </c>
      <c r="C252" s="252">
        <v>12</v>
      </c>
      <c r="D252" s="252">
        <v>0</v>
      </c>
      <c r="E252" s="252">
        <f t="shared" si="10"/>
        <v>0</v>
      </c>
      <c r="F252" s="346"/>
      <c r="G252" s="252">
        <f t="shared" si="11"/>
        <v>0</v>
      </c>
      <c r="H252" s="252">
        <f t="shared" si="12"/>
        <v>0</v>
      </c>
      <c r="I252" s="246"/>
      <c r="J252" s="246"/>
    </row>
    <row r="253" spans="1:10" ht="58.5" x14ac:dyDescent="0.35">
      <c r="A253" s="262" t="s">
        <v>862</v>
      </c>
      <c r="B253" s="251" t="s">
        <v>693</v>
      </c>
      <c r="C253" s="252">
        <v>8</v>
      </c>
      <c r="D253" s="252">
        <v>0</v>
      </c>
      <c r="E253" s="252">
        <f t="shared" si="10"/>
        <v>0</v>
      </c>
      <c r="F253" s="346"/>
      <c r="G253" s="252">
        <f t="shared" si="11"/>
        <v>0</v>
      </c>
      <c r="H253" s="252">
        <f t="shared" si="12"/>
        <v>0</v>
      </c>
      <c r="I253" s="246"/>
      <c r="J253" s="246"/>
    </row>
    <row r="254" spans="1:10" x14ac:dyDescent="0.35">
      <c r="A254" s="262" t="s">
        <v>532</v>
      </c>
      <c r="B254" s="251" t="s">
        <v>532</v>
      </c>
      <c r="C254" s="252"/>
      <c r="D254" s="252"/>
      <c r="E254" s="252"/>
      <c r="F254" s="252"/>
      <c r="G254" s="252"/>
      <c r="H254" s="252">
        <f t="shared" si="12"/>
        <v>0</v>
      </c>
      <c r="I254" s="246"/>
      <c r="J254" s="246"/>
    </row>
    <row r="255" spans="1:10" ht="26.5" x14ac:dyDescent="0.35">
      <c r="A255" s="265" t="s">
        <v>863</v>
      </c>
      <c r="B255" s="266" t="s">
        <v>532</v>
      </c>
      <c r="C255" s="267"/>
      <c r="D255" s="267"/>
      <c r="E255" s="267"/>
      <c r="F255" s="267"/>
      <c r="G255" s="267"/>
      <c r="H255" s="267"/>
      <c r="I255" s="246"/>
      <c r="J255" s="246"/>
    </row>
    <row r="256" spans="1:10" x14ac:dyDescent="0.35">
      <c r="A256" s="262" t="s">
        <v>864</v>
      </c>
      <c r="B256" s="251" t="s">
        <v>693</v>
      </c>
      <c r="C256" s="252">
        <v>30</v>
      </c>
      <c r="D256" s="346"/>
      <c r="E256" s="252">
        <f>C256*D256</f>
        <v>0</v>
      </c>
      <c r="F256" s="346"/>
      <c r="G256" s="252">
        <f>C256*F256</f>
        <v>0</v>
      </c>
      <c r="H256" s="252">
        <f>E256+G256</f>
        <v>0</v>
      </c>
      <c r="I256" s="246"/>
      <c r="J256" s="246"/>
    </row>
    <row r="257" spans="1:10" x14ac:dyDescent="0.35">
      <c r="A257" s="262" t="s">
        <v>532</v>
      </c>
      <c r="B257" s="251" t="s">
        <v>532</v>
      </c>
      <c r="C257" s="252"/>
      <c r="D257" s="252"/>
      <c r="E257" s="252"/>
      <c r="F257" s="252"/>
      <c r="G257" s="252"/>
      <c r="H257" s="252">
        <f>E257+G257</f>
        <v>0</v>
      </c>
      <c r="I257" s="246"/>
      <c r="J257" s="246"/>
    </row>
    <row r="258" spans="1:10" x14ac:dyDescent="0.35">
      <c r="A258" s="265" t="s">
        <v>748</v>
      </c>
      <c r="B258" s="266" t="s">
        <v>532</v>
      </c>
      <c r="C258" s="267"/>
      <c r="D258" s="267"/>
      <c r="E258" s="267"/>
      <c r="F258" s="267"/>
      <c r="G258" s="267"/>
      <c r="H258" s="267"/>
      <c r="I258" s="246"/>
      <c r="J258" s="246"/>
    </row>
    <row r="259" spans="1:10" x14ac:dyDescent="0.35">
      <c r="A259" s="262" t="s">
        <v>865</v>
      </c>
      <c r="B259" s="251" t="s">
        <v>693</v>
      </c>
      <c r="C259" s="252">
        <v>4</v>
      </c>
      <c r="D259" s="252">
        <v>0</v>
      </c>
      <c r="E259" s="252">
        <f>C259*D259</f>
        <v>0</v>
      </c>
      <c r="F259" s="346"/>
      <c r="G259" s="252">
        <f>C259*F259</f>
        <v>0</v>
      </c>
      <c r="H259" s="252">
        <f>E259+G259</f>
        <v>0</v>
      </c>
      <c r="I259" s="246"/>
      <c r="J259" s="246"/>
    </row>
    <row r="260" spans="1:10" x14ac:dyDescent="0.35">
      <c r="A260" s="262" t="s">
        <v>866</v>
      </c>
      <c r="B260" s="251" t="s">
        <v>693</v>
      </c>
      <c r="C260" s="252">
        <v>4</v>
      </c>
      <c r="D260" s="252">
        <v>0</v>
      </c>
      <c r="E260" s="252">
        <f>C260*D260</f>
        <v>0</v>
      </c>
      <c r="F260" s="346"/>
      <c r="G260" s="252">
        <f>C260*F260</f>
        <v>0</v>
      </c>
      <c r="H260" s="252">
        <f>E260+G260</f>
        <v>0</v>
      </c>
      <c r="I260" s="246"/>
      <c r="J260" s="246"/>
    </row>
    <row r="261" spans="1:10" x14ac:dyDescent="0.35">
      <c r="A261" s="262" t="s">
        <v>867</v>
      </c>
      <c r="B261" s="251" t="s">
        <v>693</v>
      </c>
      <c r="C261" s="252">
        <v>2</v>
      </c>
      <c r="D261" s="252">
        <v>0</v>
      </c>
      <c r="E261" s="252">
        <f>C261*D261</f>
        <v>0</v>
      </c>
      <c r="F261" s="346"/>
      <c r="G261" s="252">
        <f>C261*F261</f>
        <v>0</v>
      </c>
      <c r="H261" s="252">
        <f>E261+G261</f>
        <v>0</v>
      </c>
      <c r="I261" s="246"/>
      <c r="J261" s="246"/>
    </row>
    <row r="262" spans="1:10" x14ac:dyDescent="0.35">
      <c r="A262" s="262"/>
      <c r="B262" s="251"/>
      <c r="C262" s="252"/>
      <c r="D262" s="252"/>
      <c r="E262" s="252"/>
      <c r="F262" s="252"/>
      <c r="G262" s="252"/>
      <c r="H262" s="252"/>
      <c r="I262" s="246"/>
      <c r="J262" s="246"/>
    </row>
    <row r="263" spans="1:10" x14ac:dyDescent="0.35">
      <c r="A263" s="262"/>
      <c r="B263" s="251"/>
      <c r="C263" s="252"/>
      <c r="D263" s="252"/>
      <c r="E263" s="252"/>
      <c r="F263" s="252"/>
      <c r="G263" s="252"/>
      <c r="H263" s="252"/>
      <c r="I263" s="246"/>
      <c r="J263" s="246"/>
    </row>
    <row r="264" spans="1:10" x14ac:dyDescent="0.35">
      <c r="A264" s="265" t="s">
        <v>868</v>
      </c>
      <c r="B264" s="266" t="s">
        <v>532</v>
      </c>
      <c r="C264" s="267"/>
      <c r="D264" s="267"/>
      <c r="E264" s="267"/>
      <c r="F264" s="267"/>
      <c r="G264" s="267"/>
      <c r="H264" s="267"/>
      <c r="I264" s="246"/>
      <c r="J264" s="246"/>
    </row>
    <row r="265" spans="1:10" x14ac:dyDescent="0.35">
      <c r="A265" s="265" t="s">
        <v>869</v>
      </c>
      <c r="B265" s="266" t="s">
        <v>532</v>
      </c>
      <c r="C265" s="267"/>
      <c r="D265" s="267"/>
      <c r="E265" s="267"/>
      <c r="F265" s="267"/>
      <c r="G265" s="267"/>
      <c r="H265" s="267"/>
      <c r="I265" s="246"/>
      <c r="J265" s="246"/>
    </row>
    <row r="266" spans="1:10" x14ac:dyDescent="0.35">
      <c r="A266" s="262" t="s">
        <v>870</v>
      </c>
      <c r="B266" s="251" t="s">
        <v>693</v>
      </c>
      <c r="C266" s="252">
        <v>8</v>
      </c>
      <c r="D266" s="252">
        <v>0</v>
      </c>
      <c r="E266" s="252">
        <f>C266*D266</f>
        <v>0</v>
      </c>
      <c r="F266" s="346"/>
      <c r="G266" s="252">
        <f>C266*F266</f>
        <v>0</v>
      </c>
      <c r="H266" s="252">
        <f t="shared" ref="H266:H272" si="13">E266+G266</f>
        <v>0</v>
      </c>
      <c r="I266" s="246"/>
      <c r="J266" s="246"/>
    </row>
    <row r="267" spans="1:10" x14ac:dyDescent="0.35">
      <c r="A267" s="262" t="s">
        <v>871</v>
      </c>
      <c r="B267" s="251" t="s">
        <v>693</v>
      </c>
      <c r="C267" s="252">
        <v>4</v>
      </c>
      <c r="D267" s="252">
        <v>0</v>
      </c>
      <c r="E267" s="252">
        <f>C267*D267</f>
        <v>0</v>
      </c>
      <c r="F267" s="346"/>
      <c r="G267" s="252">
        <f>C267*F267</f>
        <v>0</v>
      </c>
      <c r="H267" s="252">
        <f t="shared" si="13"/>
        <v>0</v>
      </c>
      <c r="I267" s="246"/>
      <c r="J267" s="246"/>
    </row>
    <row r="268" spans="1:10" x14ac:dyDescent="0.35">
      <c r="A268" s="262" t="s">
        <v>532</v>
      </c>
      <c r="B268" s="251" t="s">
        <v>532</v>
      </c>
      <c r="C268" s="252"/>
      <c r="D268" s="252"/>
      <c r="E268" s="252"/>
      <c r="F268" s="252"/>
      <c r="G268" s="252"/>
      <c r="H268" s="252">
        <f t="shared" si="13"/>
        <v>0</v>
      </c>
      <c r="I268" s="246"/>
      <c r="J268" s="246"/>
    </row>
    <row r="269" spans="1:10" x14ac:dyDescent="0.35">
      <c r="A269" s="262" t="s">
        <v>872</v>
      </c>
      <c r="B269" s="251" t="s">
        <v>0</v>
      </c>
      <c r="C269" s="252">
        <v>3</v>
      </c>
      <c r="D269" s="346"/>
      <c r="E269" s="252">
        <f>C269*D269</f>
        <v>0</v>
      </c>
      <c r="F269" s="252">
        <v>0</v>
      </c>
      <c r="G269" s="252">
        <f>C269*F269</f>
        <v>0</v>
      </c>
      <c r="H269" s="252">
        <f t="shared" si="13"/>
        <v>0</v>
      </c>
      <c r="I269" s="246"/>
      <c r="J269" s="246"/>
    </row>
    <row r="270" spans="1:10" x14ac:dyDescent="0.35">
      <c r="A270" s="262" t="s">
        <v>873</v>
      </c>
      <c r="B270" s="251" t="s">
        <v>532</v>
      </c>
      <c r="C270" s="252"/>
      <c r="D270" s="252"/>
      <c r="E270" s="252"/>
      <c r="F270" s="252"/>
      <c r="G270" s="252"/>
      <c r="H270" s="252">
        <f t="shared" si="13"/>
        <v>0</v>
      </c>
      <c r="I270" s="246"/>
      <c r="J270" s="246"/>
    </row>
    <row r="271" spans="1:10" x14ac:dyDescent="0.35">
      <c r="A271" s="262" t="s">
        <v>532</v>
      </c>
      <c r="B271" s="251" t="s">
        <v>532</v>
      </c>
      <c r="C271" s="252"/>
      <c r="D271" s="252"/>
      <c r="E271" s="252"/>
      <c r="F271" s="252"/>
      <c r="G271" s="252"/>
      <c r="H271" s="252">
        <f t="shared" si="13"/>
        <v>0</v>
      </c>
      <c r="I271" s="246"/>
      <c r="J271" s="246"/>
    </row>
    <row r="272" spans="1:10" x14ac:dyDescent="0.35">
      <c r="A272" s="262" t="s">
        <v>874</v>
      </c>
      <c r="B272" s="251" t="s">
        <v>532</v>
      </c>
      <c r="C272" s="252"/>
      <c r="D272" s="252"/>
      <c r="E272" s="252">
        <f>K6+'D.1.4.2 ELE+SLP Parametry'!B35/100*E266+'D.1.4.2 ELE+SLP Parametry'!B35/100*E267+'D.1.4.2 ELE+SLP Parametry'!B35/100*E269</f>
        <v>0</v>
      </c>
      <c r="F272" s="252"/>
      <c r="G272" s="252"/>
      <c r="H272" s="252">
        <f t="shared" si="13"/>
        <v>0</v>
      </c>
      <c r="I272" s="246"/>
      <c r="J272" s="246"/>
    </row>
    <row r="273" spans="1:10" x14ac:dyDescent="0.35">
      <c r="A273" s="263" t="s">
        <v>875</v>
      </c>
      <c r="B273" s="255" t="s">
        <v>532</v>
      </c>
      <c r="C273" s="256"/>
      <c r="D273" s="256"/>
      <c r="E273" s="256">
        <f>SUM(E12:E19,E21:E37,E39,E41:E76,E78,E80:E102,E104:E129,E131:E155,E157:E272)</f>
        <v>0</v>
      </c>
      <c r="F273" s="256"/>
      <c r="G273" s="256">
        <f>SUM(G12:G19,G21:G37,G39,G41:G76,G78,G80:G102,G104:G129,G131:G155,G157:G272)</f>
        <v>0</v>
      </c>
      <c r="H273" s="256">
        <f>SUM(H12:H19,H21:H37,H39,H41:H76,H78,H80:H102,H104:H129,H131:H155,H157:H272)</f>
        <v>0</v>
      </c>
      <c r="I273" s="246"/>
      <c r="J273" s="246"/>
    </row>
    <row r="274" spans="1:10" x14ac:dyDescent="0.35">
      <c r="A274" s="262" t="s">
        <v>532</v>
      </c>
      <c r="B274" s="251" t="s">
        <v>532</v>
      </c>
      <c r="C274" s="252"/>
      <c r="D274" s="252"/>
      <c r="E274" s="252"/>
      <c r="F274" s="252"/>
      <c r="G274" s="252"/>
      <c r="H274" s="252">
        <f t="shared" ref="H274:H317" si="14">E274+G274</f>
        <v>0</v>
      </c>
      <c r="I274" s="246"/>
      <c r="J274" s="246"/>
    </row>
    <row r="275" spans="1:10" x14ac:dyDescent="0.35">
      <c r="A275" s="262" t="s">
        <v>876</v>
      </c>
      <c r="B275" s="251" t="s">
        <v>532</v>
      </c>
      <c r="C275" s="252"/>
      <c r="D275" s="252"/>
      <c r="E275" s="252"/>
      <c r="F275" s="252"/>
      <c r="G275" s="252"/>
      <c r="H275" s="252">
        <f t="shared" si="14"/>
        <v>0</v>
      </c>
      <c r="I275" s="246"/>
      <c r="J275" s="246"/>
    </row>
    <row r="276" spans="1:10" x14ac:dyDescent="0.35">
      <c r="A276" s="262" t="s">
        <v>877</v>
      </c>
      <c r="B276" s="251" t="s">
        <v>532</v>
      </c>
      <c r="C276" s="252"/>
      <c r="D276" s="252"/>
      <c r="E276" s="252"/>
      <c r="F276" s="252"/>
      <c r="G276" s="252"/>
      <c r="H276" s="252">
        <f t="shared" si="14"/>
        <v>0</v>
      </c>
      <c r="I276" s="246"/>
      <c r="J276" s="246"/>
    </row>
    <row r="277" spans="1:10" x14ac:dyDescent="0.35">
      <c r="A277" s="262" t="s">
        <v>878</v>
      </c>
      <c r="B277" s="251" t="s">
        <v>532</v>
      </c>
      <c r="C277" s="252"/>
      <c r="D277" s="252"/>
      <c r="E277" s="252"/>
      <c r="F277" s="252"/>
      <c r="G277" s="252"/>
      <c r="H277" s="252">
        <f t="shared" si="14"/>
        <v>0</v>
      </c>
      <c r="I277" s="246"/>
      <c r="J277" s="246"/>
    </row>
    <row r="278" spans="1:10" x14ac:dyDescent="0.35">
      <c r="A278" s="262" t="s">
        <v>879</v>
      </c>
      <c r="B278" s="251" t="s">
        <v>532</v>
      </c>
      <c r="C278" s="252"/>
      <c r="D278" s="252"/>
      <c r="E278" s="252"/>
      <c r="F278" s="252"/>
      <c r="G278" s="252"/>
      <c r="H278" s="252">
        <f t="shared" si="14"/>
        <v>0</v>
      </c>
      <c r="I278" s="246"/>
      <c r="J278" s="246"/>
    </row>
    <row r="279" spans="1:10" x14ac:dyDescent="0.35">
      <c r="A279" s="262" t="s">
        <v>880</v>
      </c>
      <c r="B279" s="251" t="s">
        <v>532</v>
      </c>
      <c r="C279" s="252"/>
      <c r="D279" s="252"/>
      <c r="E279" s="252"/>
      <c r="F279" s="252"/>
      <c r="G279" s="252"/>
      <c r="H279" s="252">
        <f t="shared" si="14"/>
        <v>0</v>
      </c>
      <c r="I279" s="246"/>
      <c r="J279" s="246"/>
    </row>
    <row r="280" spans="1:10" x14ac:dyDescent="0.35">
      <c r="A280" s="262" t="s">
        <v>881</v>
      </c>
      <c r="B280" s="251" t="s">
        <v>532</v>
      </c>
      <c r="C280" s="252"/>
      <c r="D280" s="252"/>
      <c r="E280" s="252"/>
      <c r="F280" s="252"/>
      <c r="G280" s="252"/>
      <c r="H280" s="252">
        <f t="shared" si="14"/>
        <v>0</v>
      </c>
      <c r="I280" s="246"/>
      <c r="J280" s="246"/>
    </row>
    <row r="281" spans="1:10" x14ac:dyDescent="0.35">
      <c r="A281" s="262" t="s">
        <v>882</v>
      </c>
      <c r="B281" s="251" t="s">
        <v>532</v>
      </c>
      <c r="C281" s="252"/>
      <c r="D281" s="252"/>
      <c r="E281" s="252"/>
      <c r="F281" s="252"/>
      <c r="G281" s="252"/>
      <c r="H281" s="252">
        <f t="shared" si="14"/>
        <v>0</v>
      </c>
      <c r="I281" s="246"/>
      <c r="J281" s="246"/>
    </row>
    <row r="282" spans="1:10" x14ac:dyDescent="0.35">
      <c r="A282" s="262" t="s">
        <v>883</v>
      </c>
      <c r="B282" s="251" t="s">
        <v>532</v>
      </c>
      <c r="C282" s="252"/>
      <c r="D282" s="252"/>
      <c r="E282" s="252"/>
      <c r="F282" s="252"/>
      <c r="G282" s="252"/>
      <c r="H282" s="252">
        <f t="shared" si="14"/>
        <v>0</v>
      </c>
      <c r="I282" s="246"/>
      <c r="J282" s="246"/>
    </row>
    <row r="283" spans="1:10" x14ac:dyDescent="0.35">
      <c r="A283" s="262" t="s">
        <v>884</v>
      </c>
      <c r="B283" s="251" t="s">
        <v>532</v>
      </c>
      <c r="C283" s="252"/>
      <c r="D283" s="252"/>
      <c r="E283" s="252"/>
      <c r="F283" s="252"/>
      <c r="G283" s="252"/>
      <c r="H283" s="252">
        <f t="shared" si="14"/>
        <v>0</v>
      </c>
      <c r="I283" s="246"/>
      <c r="J283" s="246"/>
    </row>
    <row r="284" spans="1:10" x14ac:dyDescent="0.35">
      <c r="A284" s="262" t="s">
        <v>885</v>
      </c>
      <c r="B284" s="251" t="s">
        <v>532</v>
      </c>
      <c r="C284" s="252"/>
      <c r="D284" s="252"/>
      <c r="E284" s="252"/>
      <c r="F284" s="252"/>
      <c r="G284" s="252"/>
      <c r="H284" s="252">
        <f t="shared" si="14"/>
        <v>0</v>
      </c>
      <c r="I284" s="246"/>
      <c r="J284" s="246"/>
    </row>
    <row r="285" spans="1:10" x14ac:dyDescent="0.35">
      <c r="A285" s="262" t="s">
        <v>886</v>
      </c>
      <c r="B285" s="251" t="s">
        <v>532</v>
      </c>
      <c r="C285" s="252"/>
      <c r="D285" s="252"/>
      <c r="E285" s="252"/>
      <c r="F285" s="252"/>
      <c r="G285" s="252"/>
      <c r="H285" s="252">
        <f t="shared" si="14"/>
        <v>0</v>
      </c>
      <c r="I285" s="246"/>
      <c r="J285" s="246"/>
    </row>
    <row r="286" spans="1:10" x14ac:dyDescent="0.35">
      <c r="A286" s="262" t="s">
        <v>887</v>
      </c>
      <c r="B286" s="251" t="s">
        <v>532</v>
      </c>
      <c r="C286" s="252"/>
      <c r="D286" s="252"/>
      <c r="E286" s="252"/>
      <c r="F286" s="252"/>
      <c r="G286" s="252"/>
      <c r="H286" s="252">
        <f t="shared" si="14"/>
        <v>0</v>
      </c>
      <c r="I286" s="246"/>
      <c r="J286" s="246"/>
    </row>
    <row r="287" spans="1:10" x14ac:dyDescent="0.35">
      <c r="A287" s="262" t="s">
        <v>888</v>
      </c>
      <c r="B287" s="251" t="s">
        <v>532</v>
      </c>
      <c r="C287" s="252"/>
      <c r="D287" s="252"/>
      <c r="E287" s="252"/>
      <c r="F287" s="252"/>
      <c r="G287" s="252"/>
      <c r="H287" s="252">
        <f t="shared" si="14"/>
        <v>0</v>
      </c>
      <c r="I287" s="246"/>
      <c r="J287" s="246"/>
    </row>
    <row r="288" spans="1:10" x14ac:dyDescent="0.35">
      <c r="A288" s="262" t="s">
        <v>889</v>
      </c>
      <c r="B288" s="251" t="s">
        <v>532</v>
      </c>
      <c r="C288" s="252"/>
      <c r="D288" s="252"/>
      <c r="E288" s="252"/>
      <c r="F288" s="252"/>
      <c r="G288" s="252"/>
      <c r="H288" s="252">
        <f t="shared" si="14"/>
        <v>0</v>
      </c>
      <c r="I288" s="246"/>
      <c r="J288" s="246"/>
    </row>
    <row r="289" spans="1:10" x14ac:dyDescent="0.35">
      <c r="A289" s="262" t="s">
        <v>890</v>
      </c>
      <c r="B289" s="251" t="s">
        <v>532</v>
      </c>
      <c r="C289" s="252"/>
      <c r="D289" s="252"/>
      <c r="E289" s="252"/>
      <c r="F289" s="252"/>
      <c r="G289" s="252"/>
      <c r="H289" s="252">
        <f t="shared" si="14"/>
        <v>0</v>
      </c>
      <c r="I289" s="246"/>
      <c r="J289" s="246"/>
    </row>
    <row r="290" spans="1:10" x14ac:dyDescent="0.35">
      <c r="A290" s="262" t="s">
        <v>891</v>
      </c>
      <c r="B290" s="251" t="s">
        <v>532</v>
      </c>
      <c r="C290" s="252"/>
      <c r="D290" s="252"/>
      <c r="E290" s="252"/>
      <c r="F290" s="252"/>
      <c r="G290" s="252"/>
      <c r="H290" s="252">
        <f t="shared" si="14"/>
        <v>0</v>
      </c>
      <c r="I290" s="246"/>
      <c r="J290" s="246"/>
    </row>
    <row r="291" spans="1:10" x14ac:dyDescent="0.35">
      <c r="A291" s="262" t="s">
        <v>892</v>
      </c>
      <c r="B291" s="251" t="s">
        <v>532</v>
      </c>
      <c r="C291" s="252"/>
      <c r="D291" s="252"/>
      <c r="E291" s="252"/>
      <c r="F291" s="252"/>
      <c r="G291" s="252"/>
      <c r="H291" s="252">
        <f t="shared" si="14"/>
        <v>0</v>
      </c>
      <c r="I291" s="246"/>
      <c r="J291" s="246"/>
    </row>
    <row r="292" spans="1:10" x14ac:dyDescent="0.35">
      <c r="A292" s="262" t="s">
        <v>893</v>
      </c>
      <c r="B292" s="251" t="s">
        <v>532</v>
      </c>
      <c r="C292" s="252"/>
      <c r="D292" s="252"/>
      <c r="E292" s="252"/>
      <c r="F292" s="252"/>
      <c r="G292" s="252"/>
      <c r="H292" s="252">
        <f t="shared" si="14"/>
        <v>0</v>
      </c>
      <c r="I292" s="246"/>
      <c r="J292" s="246"/>
    </row>
    <row r="293" spans="1:10" x14ac:dyDescent="0.35">
      <c r="A293" s="262" t="s">
        <v>894</v>
      </c>
      <c r="B293" s="251" t="s">
        <v>532</v>
      </c>
      <c r="C293" s="252"/>
      <c r="D293" s="252"/>
      <c r="E293" s="252"/>
      <c r="F293" s="252"/>
      <c r="G293" s="252"/>
      <c r="H293" s="252">
        <f t="shared" si="14"/>
        <v>0</v>
      </c>
      <c r="I293" s="246"/>
      <c r="J293" s="246"/>
    </row>
    <row r="294" spans="1:10" x14ac:dyDescent="0.35">
      <c r="A294" s="262" t="s">
        <v>895</v>
      </c>
      <c r="B294" s="251" t="s">
        <v>532</v>
      </c>
      <c r="C294" s="252"/>
      <c r="D294" s="252"/>
      <c r="E294" s="252"/>
      <c r="F294" s="252"/>
      <c r="G294" s="252"/>
      <c r="H294" s="252">
        <f t="shared" si="14"/>
        <v>0</v>
      </c>
      <c r="I294" s="246"/>
      <c r="J294" s="246"/>
    </row>
    <row r="295" spans="1:10" x14ac:dyDescent="0.35">
      <c r="A295" s="262" t="s">
        <v>896</v>
      </c>
      <c r="B295" s="251" t="s">
        <v>532</v>
      </c>
      <c r="C295" s="252"/>
      <c r="D295" s="252"/>
      <c r="E295" s="252"/>
      <c r="F295" s="252"/>
      <c r="G295" s="252"/>
      <c r="H295" s="252">
        <f t="shared" si="14"/>
        <v>0</v>
      </c>
      <c r="I295" s="246"/>
      <c r="J295" s="246"/>
    </row>
    <row r="296" spans="1:10" x14ac:dyDescent="0.35">
      <c r="A296" s="262" t="s">
        <v>897</v>
      </c>
      <c r="B296" s="251" t="s">
        <v>532</v>
      </c>
      <c r="C296" s="252"/>
      <c r="D296" s="252"/>
      <c r="E296" s="252"/>
      <c r="F296" s="252"/>
      <c r="G296" s="252"/>
      <c r="H296" s="252">
        <f t="shared" si="14"/>
        <v>0</v>
      </c>
      <c r="I296" s="246"/>
      <c r="J296" s="246"/>
    </row>
    <row r="297" spans="1:10" x14ac:dyDescent="0.35">
      <c r="A297" s="262" t="s">
        <v>898</v>
      </c>
      <c r="B297" s="251" t="s">
        <v>532</v>
      </c>
      <c r="C297" s="252"/>
      <c r="D297" s="252"/>
      <c r="E297" s="252"/>
      <c r="F297" s="252"/>
      <c r="G297" s="252"/>
      <c r="H297" s="252">
        <f t="shared" si="14"/>
        <v>0</v>
      </c>
      <c r="I297" s="246"/>
      <c r="J297" s="246"/>
    </row>
    <row r="298" spans="1:10" x14ac:dyDescent="0.35">
      <c r="A298" s="262" t="s">
        <v>899</v>
      </c>
      <c r="B298" s="251" t="s">
        <v>532</v>
      </c>
      <c r="C298" s="252"/>
      <c r="D298" s="252"/>
      <c r="E298" s="252"/>
      <c r="F298" s="252"/>
      <c r="G298" s="252"/>
      <c r="H298" s="252">
        <f t="shared" si="14"/>
        <v>0</v>
      </c>
      <c r="I298" s="246"/>
      <c r="J298" s="246"/>
    </row>
    <row r="299" spans="1:10" x14ac:dyDescent="0.35">
      <c r="A299" s="262" t="s">
        <v>900</v>
      </c>
      <c r="B299" s="251" t="s">
        <v>532</v>
      </c>
      <c r="C299" s="252"/>
      <c r="D299" s="252"/>
      <c r="E299" s="252"/>
      <c r="F299" s="252"/>
      <c r="G299" s="252"/>
      <c r="H299" s="252">
        <f t="shared" si="14"/>
        <v>0</v>
      </c>
      <c r="I299" s="246"/>
      <c r="J299" s="246"/>
    </row>
    <row r="300" spans="1:10" x14ac:dyDescent="0.35">
      <c r="A300" s="262" t="s">
        <v>901</v>
      </c>
      <c r="B300" s="251" t="s">
        <v>532</v>
      </c>
      <c r="C300" s="252"/>
      <c r="D300" s="252"/>
      <c r="E300" s="252"/>
      <c r="F300" s="252"/>
      <c r="G300" s="252"/>
      <c r="H300" s="252">
        <f t="shared" si="14"/>
        <v>0</v>
      </c>
      <c r="I300" s="246"/>
      <c r="J300" s="246"/>
    </row>
    <row r="301" spans="1:10" x14ac:dyDescent="0.35">
      <c r="A301" s="262" t="s">
        <v>902</v>
      </c>
      <c r="B301" s="251" t="s">
        <v>532</v>
      </c>
      <c r="C301" s="252"/>
      <c r="D301" s="252"/>
      <c r="E301" s="252"/>
      <c r="F301" s="252"/>
      <c r="G301" s="252"/>
      <c r="H301" s="252">
        <f t="shared" si="14"/>
        <v>0</v>
      </c>
      <c r="I301" s="246"/>
      <c r="J301" s="246"/>
    </row>
    <row r="302" spans="1:10" x14ac:dyDescent="0.35">
      <c r="A302" s="262" t="s">
        <v>903</v>
      </c>
      <c r="B302" s="251" t="s">
        <v>532</v>
      </c>
      <c r="C302" s="252"/>
      <c r="D302" s="252"/>
      <c r="E302" s="252"/>
      <c r="F302" s="252"/>
      <c r="G302" s="252"/>
      <c r="H302" s="252">
        <f t="shared" si="14"/>
        <v>0</v>
      </c>
      <c r="I302" s="246"/>
      <c r="J302" s="246"/>
    </row>
    <row r="303" spans="1:10" x14ac:dyDescent="0.35">
      <c r="A303" s="262" t="s">
        <v>904</v>
      </c>
      <c r="B303" s="251" t="s">
        <v>532</v>
      </c>
      <c r="C303" s="252"/>
      <c r="D303" s="252"/>
      <c r="E303" s="252"/>
      <c r="F303" s="252"/>
      <c r="G303" s="252"/>
      <c r="H303" s="252">
        <f t="shared" si="14"/>
        <v>0</v>
      </c>
      <c r="I303" s="246"/>
      <c r="J303" s="246"/>
    </row>
    <row r="304" spans="1:10" x14ac:dyDescent="0.35">
      <c r="A304" s="262" t="s">
        <v>905</v>
      </c>
      <c r="B304" s="251" t="s">
        <v>532</v>
      </c>
      <c r="C304" s="252"/>
      <c r="D304" s="252"/>
      <c r="E304" s="252"/>
      <c r="F304" s="252"/>
      <c r="G304" s="252"/>
      <c r="H304" s="252">
        <f t="shared" si="14"/>
        <v>0</v>
      </c>
      <c r="I304" s="246"/>
      <c r="J304" s="246"/>
    </row>
    <row r="305" spans="1:10" x14ac:dyDescent="0.35">
      <c r="A305" s="262" t="s">
        <v>906</v>
      </c>
      <c r="B305" s="251" t="s">
        <v>532</v>
      </c>
      <c r="C305" s="252"/>
      <c r="D305" s="252"/>
      <c r="E305" s="252"/>
      <c r="F305" s="252"/>
      <c r="G305" s="252"/>
      <c r="H305" s="252">
        <f t="shared" si="14"/>
        <v>0</v>
      </c>
      <c r="I305" s="246"/>
      <c r="J305" s="246"/>
    </row>
    <row r="306" spans="1:10" x14ac:dyDescent="0.35">
      <c r="A306" s="262" t="s">
        <v>907</v>
      </c>
      <c r="B306" s="251" t="s">
        <v>532</v>
      </c>
      <c r="C306" s="252"/>
      <c r="D306" s="252"/>
      <c r="E306" s="252"/>
      <c r="F306" s="252"/>
      <c r="G306" s="252"/>
      <c r="H306" s="252">
        <f t="shared" si="14"/>
        <v>0</v>
      </c>
      <c r="I306" s="246"/>
      <c r="J306" s="246"/>
    </row>
    <row r="307" spans="1:10" x14ac:dyDescent="0.35">
      <c r="A307" s="262" t="s">
        <v>532</v>
      </c>
      <c r="B307" s="251" t="s">
        <v>532</v>
      </c>
      <c r="C307" s="252"/>
      <c r="D307" s="252"/>
      <c r="E307" s="252"/>
      <c r="F307" s="252"/>
      <c r="G307" s="252"/>
      <c r="H307" s="252">
        <f t="shared" si="14"/>
        <v>0</v>
      </c>
      <c r="I307" s="246"/>
      <c r="J307" s="246"/>
    </row>
    <row r="308" spans="1:10" x14ac:dyDescent="0.35">
      <c r="A308" s="262" t="s">
        <v>908</v>
      </c>
      <c r="B308" s="251" t="s">
        <v>532</v>
      </c>
      <c r="C308" s="252"/>
      <c r="D308" s="252"/>
      <c r="E308" s="252"/>
      <c r="F308" s="252"/>
      <c r="G308" s="252"/>
      <c r="H308" s="252">
        <f t="shared" si="14"/>
        <v>0</v>
      </c>
      <c r="I308" s="246"/>
      <c r="J308" s="246"/>
    </row>
    <row r="309" spans="1:10" x14ac:dyDescent="0.35">
      <c r="A309" s="262" t="s">
        <v>909</v>
      </c>
      <c r="B309" s="251" t="s">
        <v>532</v>
      </c>
      <c r="C309" s="252"/>
      <c r="D309" s="252"/>
      <c r="E309" s="252"/>
      <c r="F309" s="252"/>
      <c r="G309" s="252"/>
      <c r="H309" s="252">
        <f t="shared" si="14"/>
        <v>0</v>
      </c>
      <c r="I309" s="246"/>
      <c r="J309" s="246"/>
    </row>
    <row r="310" spans="1:10" x14ac:dyDescent="0.35">
      <c r="A310" s="262" t="s">
        <v>910</v>
      </c>
      <c r="B310" s="251" t="s">
        <v>532</v>
      </c>
      <c r="C310" s="252"/>
      <c r="D310" s="252"/>
      <c r="E310" s="252"/>
      <c r="F310" s="252"/>
      <c r="G310" s="252"/>
      <c r="H310" s="252">
        <f t="shared" si="14"/>
        <v>0</v>
      </c>
      <c r="I310" s="246"/>
      <c r="J310" s="246"/>
    </row>
    <row r="311" spans="1:10" x14ac:dyDescent="0.35">
      <c r="A311" s="262" t="s">
        <v>911</v>
      </c>
      <c r="B311" s="251" t="s">
        <v>532</v>
      </c>
      <c r="C311" s="252"/>
      <c r="D311" s="252"/>
      <c r="E311" s="252"/>
      <c r="F311" s="252"/>
      <c r="G311" s="252"/>
      <c r="H311" s="252">
        <f t="shared" si="14"/>
        <v>0</v>
      </c>
      <c r="I311" s="246"/>
      <c r="J311" s="246"/>
    </row>
    <row r="312" spans="1:10" x14ac:dyDescent="0.35">
      <c r="A312" s="262" t="s">
        <v>912</v>
      </c>
      <c r="B312" s="251" t="s">
        <v>532</v>
      </c>
      <c r="C312" s="252"/>
      <c r="D312" s="252"/>
      <c r="E312" s="252"/>
      <c r="F312" s="252"/>
      <c r="G312" s="252"/>
      <c r="H312" s="252">
        <f t="shared" si="14"/>
        <v>0</v>
      </c>
      <c r="I312" s="246"/>
      <c r="J312" s="246"/>
    </row>
    <row r="313" spans="1:10" x14ac:dyDescent="0.35">
      <c r="A313" s="262" t="s">
        <v>913</v>
      </c>
      <c r="B313" s="251" t="s">
        <v>532</v>
      </c>
      <c r="C313" s="252"/>
      <c r="D313" s="252"/>
      <c r="E313" s="252"/>
      <c r="F313" s="252"/>
      <c r="G313" s="252"/>
      <c r="H313" s="252">
        <f t="shared" si="14"/>
        <v>0</v>
      </c>
      <c r="I313" s="246"/>
      <c r="J313" s="246"/>
    </row>
    <row r="314" spans="1:10" x14ac:dyDescent="0.35">
      <c r="A314" s="262" t="s">
        <v>914</v>
      </c>
      <c r="B314" s="251" t="s">
        <v>532</v>
      </c>
      <c r="C314" s="252"/>
      <c r="D314" s="252"/>
      <c r="E314" s="252"/>
      <c r="F314" s="252"/>
      <c r="G314" s="252"/>
      <c r="H314" s="252">
        <f t="shared" si="14"/>
        <v>0</v>
      </c>
      <c r="I314" s="246"/>
      <c r="J314" s="246"/>
    </row>
    <row r="315" spans="1:10" x14ac:dyDescent="0.35">
      <c r="A315" s="262" t="s">
        <v>915</v>
      </c>
      <c r="B315" s="251" t="s">
        <v>532</v>
      </c>
      <c r="C315" s="252"/>
      <c r="D315" s="252"/>
      <c r="E315" s="252"/>
      <c r="F315" s="252"/>
      <c r="G315" s="252"/>
      <c r="H315" s="252">
        <f t="shared" si="14"/>
        <v>0</v>
      </c>
      <c r="I315" s="246"/>
      <c r="J315" s="246"/>
    </row>
    <row r="316" spans="1:10" x14ac:dyDescent="0.35">
      <c r="A316" s="262" t="s">
        <v>532</v>
      </c>
      <c r="B316" s="251" t="s">
        <v>532</v>
      </c>
      <c r="C316" s="252"/>
      <c r="D316" s="252"/>
      <c r="E316" s="252"/>
      <c r="F316" s="252"/>
      <c r="G316" s="252"/>
      <c r="H316" s="252">
        <f t="shared" si="14"/>
        <v>0</v>
      </c>
      <c r="I316" s="246"/>
      <c r="J316" s="246"/>
    </row>
    <row r="317" spans="1:10" x14ac:dyDescent="0.35">
      <c r="A317" s="262" t="s">
        <v>916</v>
      </c>
      <c r="B317" s="251" t="s">
        <v>532</v>
      </c>
      <c r="C317" s="252"/>
      <c r="D317" s="252"/>
      <c r="E317" s="252"/>
      <c r="F317" s="252"/>
      <c r="G317" s="252"/>
      <c r="H317" s="252">
        <f t="shared" si="14"/>
        <v>0</v>
      </c>
      <c r="I317" s="246"/>
      <c r="J317" s="246"/>
    </row>
  </sheetData>
  <sheetProtection algorithmName="SHA-512" hashValue="HuHTyL5MAoBCLM8d11/ty4nILFRrXnhXw10S/TuB0BFhjyvo8n3rzLdl5Bl1luYhC1XHuw/ehCZtRkhbyoCYww==" saltValue="22JDUibevIoCwV7mF9ashQ==" spinCount="100000" sheet="1" objects="1" scenarios="1"/>
  <protectedRanges>
    <protectedRange sqref="D241 D242" name="Oblast8"/>
    <protectedRange sqref="D222 F222" name="Oblast6"/>
    <protectedRange sqref="D169:D170 F169:F170 D173 F173 D176 F176 D179:D182 F179:F182 D185:D188 F185:F188 D191:D194 F191:F194 F197:F198 D202 F202 F206:F207 D206:D207 D211 F211 D214:D215 F214:F215 D218 F218" name="Oblast4"/>
    <protectedRange sqref="F81:F84 D86:D91 F86:F91 D93:D95 F93 F95 F98:F99 F106:F111 D106:D111 D114 F114 F117:F118 D117:D118" name="Oblast2"/>
    <protectedRange sqref="D4:D5 F4:F5 D7 F7 D23 F23 F26 D26 F29:F30 D33 F33 D36 D42 F42 F44 D44 D46 F46 F48 D48 D52 F52 F54 D54 D56 F56 F58 D58 D60 F60 D64 F64 F66 D66 D70 F70 F74 D74 D81:D84" name="Oblast1"/>
    <protectedRange sqref="D121 F121 D124 F124 D127:D128 F127:F128 D132 F132 D136 F136 F139 D139 D142 F142 F145 D145 F148 F151 D154 F154 F159:F163 D159:D163 D166 F166" name="Oblast3"/>
    <protectedRange sqref="D225 F225 D228 F228 F231 D231 F234:F237 F240:F242 F245:F253 F256 F259:F261 F266:F267 D269" name="Oblast5"/>
    <protectedRange sqref="D256" name="Oblast7"/>
  </protectedRanges>
  <mergeCells count="1">
    <mergeCell ref="A1:H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A928-3909-4AEE-A2F6-47D754205196}">
  <sheetPr>
    <tabColor rgb="FF4BDC44"/>
    <outlinePr summaryBelow="0"/>
  </sheetPr>
  <dimension ref="A1:BH44"/>
  <sheetViews>
    <sheetView workbookViewId="0">
      <selection activeCell="X26" sqref="X26"/>
    </sheetView>
  </sheetViews>
  <sheetFormatPr defaultRowHeight="12.5" outlineLevelRow="1" x14ac:dyDescent="0.25"/>
  <cols>
    <col min="1" max="1" width="4.26953125" customWidth="1"/>
    <col min="2" max="2" width="14.453125" style="207" customWidth="1"/>
    <col min="3" max="3" width="38.26953125" style="83" customWidth="1"/>
    <col min="4" max="4" width="4.54296875" customWidth="1"/>
    <col min="5" max="5" width="10.54296875" customWidth="1"/>
    <col min="6" max="6" width="9.81640625" customWidth="1"/>
    <col min="7" max="7" width="12.7265625" customWidth="1"/>
    <col min="8" max="13" width="0" hidden="1" customWidth="1"/>
    <col min="18" max="21" width="0" hidden="1" customWidth="1"/>
    <col min="29" max="39" width="0" hidden="1" customWidth="1"/>
  </cols>
  <sheetData>
    <row r="1" spans="1:60" s="317" customFormat="1" ht="40" customHeight="1" x14ac:dyDescent="0.35">
      <c r="A1" s="529" t="s">
        <v>1221</v>
      </c>
      <c r="B1" s="529"/>
      <c r="C1" s="529"/>
      <c r="D1" s="529"/>
      <c r="E1" s="529"/>
      <c r="F1" s="529"/>
      <c r="G1" s="529"/>
      <c r="AE1" s="317" t="s">
        <v>99</v>
      </c>
    </row>
    <row r="2" spans="1:60" ht="25" customHeight="1" x14ac:dyDescent="0.25">
      <c r="A2" s="190" t="s">
        <v>98</v>
      </c>
      <c r="B2" s="199"/>
      <c r="C2" s="530" t="s">
        <v>566</v>
      </c>
      <c r="D2" s="531"/>
      <c r="E2" s="531"/>
      <c r="F2" s="531"/>
      <c r="G2" s="532"/>
      <c r="AE2" t="s">
        <v>100</v>
      </c>
    </row>
    <row r="3" spans="1:60" ht="25" hidden="1" customHeight="1" x14ac:dyDescent="0.25">
      <c r="A3" s="190" t="s">
        <v>7</v>
      </c>
      <c r="B3" s="199"/>
      <c r="C3" s="530"/>
      <c r="D3" s="531"/>
      <c r="E3" s="531"/>
      <c r="F3" s="531"/>
      <c r="G3" s="532"/>
      <c r="AE3" t="s">
        <v>101</v>
      </c>
    </row>
    <row r="4" spans="1:60" ht="25" hidden="1" customHeight="1" x14ac:dyDescent="0.25">
      <c r="A4" s="190" t="s">
        <v>8</v>
      </c>
      <c r="B4" s="199"/>
      <c r="C4" s="530"/>
      <c r="D4" s="531"/>
      <c r="E4" s="531"/>
      <c r="F4" s="531"/>
      <c r="G4" s="532"/>
      <c r="AE4" t="s">
        <v>102</v>
      </c>
    </row>
    <row r="5" spans="1:60" hidden="1" x14ac:dyDescent="0.25">
      <c r="A5" s="191" t="s">
        <v>103</v>
      </c>
      <c r="B5" s="200"/>
      <c r="C5" s="136"/>
      <c r="D5" s="137"/>
      <c r="E5" s="137"/>
      <c r="F5" s="137"/>
      <c r="G5" s="192"/>
      <c r="AE5" t="s">
        <v>104</v>
      </c>
    </row>
    <row r="7" spans="1:60" ht="37.5" x14ac:dyDescent="0.25">
      <c r="A7" s="193" t="s">
        <v>105</v>
      </c>
      <c r="B7" s="201" t="s">
        <v>106</v>
      </c>
      <c r="C7" s="194" t="s">
        <v>107</v>
      </c>
      <c r="D7" s="193" t="s">
        <v>108</v>
      </c>
      <c r="E7" s="193" t="s">
        <v>109</v>
      </c>
      <c r="F7" s="139" t="s">
        <v>110</v>
      </c>
      <c r="G7" s="193" t="s">
        <v>28</v>
      </c>
      <c r="H7" s="161" t="s">
        <v>29</v>
      </c>
      <c r="I7" s="161" t="s">
        <v>111</v>
      </c>
      <c r="J7" s="161" t="s">
        <v>30</v>
      </c>
      <c r="K7" s="161" t="s">
        <v>112</v>
      </c>
      <c r="L7" s="161" t="s">
        <v>113</v>
      </c>
      <c r="M7" s="161" t="s">
        <v>114</v>
      </c>
      <c r="N7" s="161" t="s">
        <v>115</v>
      </c>
      <c r="O7" s="161" t="s">
        <v>116</v>
      </c>
      <c r="P7" s="161" t="s">
        <v>117</v>
      </c>
      <c r="Q7" s="161" t="s">
        <v>118</v>
      </c>
      <c r="R7" s="161" t="s">
        <v>119</v>
      </c>
      <c r="S7" s="161" t="s">
        <v>120</v>
      </c>
      <c r="T7" s="161" t="s">
        <v>121</v>
      </c>
      <c r="U7" s="161" t="s">
        <v>122</v>
      </c>
    </row>
    <row r="8" spans="1:60" x14ac:dyDescent="0.25">
      <c r="A8" s="162" t="s">
        <v>123</v>
      </c>
      <c r="B8" s="202" t="s">
        <v>96</v>
      </c>
      <c r="C8" s="164" t="s">
        <v>26</v>
      </c>
      <c r="D8" s="165"/>
      <c r="E8" s="166"/>
      <c r="F8" s="167"/>
      <c r="G8" s="167">
        <f>SUMIF(AE9:AE33,"&lt;&gt;NOR",G9:G33)</f>
        <v>0</v>
      </c>
      <c r="H8" s="167"/>
      <c r="I8" s="167">
        <f>SUM(I9:I33)</f>
        <v>0</v>
      </c>
      <c r="J8" s="167"/>
      <c r="K8" s="167">
        <f>SUM(K9:K33)</f>
        <v>0</v>
      </c>
      <c r="L8" s="167"/>
      <c r="M8" s="167">
        <f>SUM(M9:M33)</f>
        <v>0</v>
      </c>
      <c r="N8" s="145"/>
      <c r="O8" s="145">
        <f>SUM(O9:O33)</f>
        <v>0</v>
      </c>
      <c r="P8" s="145"/>
      <c r="Q8" s="145">
        <f>SUM(Q9:Q33)</f>
        <v>0</v>
      </c>
      <c r="R8" s="145"/>
      <c r="S8" s="145"/>
      <c r="T8" s="162"/>
      <c r="U8" s="145">
        <f>SUM(U9:U33)</f>
        <v>0</v>
      </c>
      <c r="AE8" t="s">
        <v>124</v>
      </c>
    </row>
    <row r="9" spans="1:60" outlineLevel="1" x14ac:dyDescent="0.25">
      <c r="A9" s="141">
        <v>1</v>
      </c>
      <c r="B9" s="203" t="s">
        <v>567</v>
      </c>
      <c r="C9" s="178" t="s">
        <v>569</v>
      </c>
      <c r="D9" s="147" t="s">
        <v>574</v>
      </c>
      <c r="E9" s="158">
        <v>1</v>
      </c>
      <c r="F9" s="157"/>
      <c r="G9" s="158">
        <f>ROUND(E9*F9,2)</f>
        <v>0</v>
      </c>
      <c r="H9" s="158"/>
      <c r="I9" s="158">
        <f>ROUND(E9*H9,2)</f>
        <v>0</v>
      </c>
      <c r="J9" s="158"/>
      <c r="K9" s="158">
        <f>ROUND(E9*J9,2)</f>
        <v>0</v>
      </c>
      <c r="L9" s="158">
        <v>21</v>
      </c>
      <c r="M9" s="158">
        <f>G9*(1+L9/100)</f>
        <v>0</v>
      </c>
      <c r="N9" s="148"/>
      <c r="O9" s="148"/>
      <c r="P9" s="148"/>
      <c r="Q9" s="148"/>
      <c r="R9" s="148"/>
      <c r="S9" s="148"/>
      <c r="T9" s="149">
        <v>0</v>
      </c>
      <c r="U9" s="148">
        <f>ROUND(E9*T9,2)</f>
        <v>0</v>
      </c>
      <c r="V9" s="140"/>
      <c r="W9" s="140"/>
      <c r="X9" s="140"/>
      <c r="Y9" s="140"/>
      <c r="Z9" s="140"/>
      <c r="AA9" s="140"/>
      <c r="AB9" s="140"/>
      <c r="AC9" s="140"/>
      <c r="AD9" s="140"/>
      <c r="AE9" s="140" t="s">
        <v>128</v>
      </c>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x14ac:dyDescent="0.25">
      <c r="A10" s="141">
        <v>2</v>
      </c>
      <c r="B10" s="203" t="s">
        <v>568</v>
      </c>
      <c r="C10" s="178" t="s">
        <v>594</v>
      </c>
      <c r="D10" s="147" t="s">
        <v>574</v>
      </c>
      <c r="E10" s="158">
        <v>1</v>
      </c>
      <c r="F10" s="157"/>
      <c r="G10" s="158">
        <f>ROUND(E10*F10,2)</f>
        <v>0</v>
      </c>
      <c r="H10" s="158"/>
      <c r="I10" s="158">
        <f>ROUND(E10*H10,2)</f>
        <v>0</v>
      </c>
      <c r="J10" s="158"/>
      <c r="K10" s="158">
        <f>ROUND(E10*J10,2)</f>
        <v>0</v>
      </c>
      <c r="L10" s="158">
        <v>21</v>
      </c>
      <c r="M10" s="158">
        <f>G10*(1+L10/100)</f>
        <v>0</v>
      </c>
      <c r="N10" s="148"/>
      <c r="O10" s="148"/>
      <c r="P10" s="148"/>
      <c r="Q10" s="148"/>
      <c r="R10" s="148"/>
      <c r="S10" s="148"/>
      <c r="T10" s="149">
        <v>0</v>
      </c>
      <c r="U10" s="148">
        <f>ROUND(E10*T10,2)</f>
        <v>0</v>
      </c>
      <c r="V10" s="140"/>
      <c r="W10" s="140"/>
      <c r="X10" s="140"/>
      <c r="Y10" s="140"/>
      <c r="Z10" s="140"/>
      <c r="AA10" s="140"/>
      <c r="AB10" s="140"/>
      <c r="AC10" s="140"/>
      <c r="AD10" s="140"/>
      <c r="AE10" s="140" t="s">
        <v>128</v>
      </c>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x14ac:dyDescent="0.25">
      <c r="A11" s="141">
        <v>3</v>
      </c>
      <c r="B11" s="203" t="s">
        <v>570</v>
      </c>
      <c r="C11" s="178" t="s">
        <v>572</v>
      </c>
      <c r="D11" s="147" t="s">
        <v>574</v>
      </c>
      <c r="E11" s="158">
        <v>1</v>
      </c>
      <c r="F11" s="157"/>
      <c r="G11" s="158">
        <f>ROUND(E11*F11,2)</f>
        <v>0</v>
      </c>
      <c r="H11" s="158"/>
      <c r="I11" s="158">
        <f>ROUND(E11*H11,2)</f>
        <v>0</v>
      </c>
      <c r="J11" s="158"/>
      <c r="K11" s="158">
        <f>ROUND(E11*J11,2)</f>
        <v>0</v>
      </c>
      <c r="L11" s="158">
        <v>21</v>
      </c>
      <c r="M11" s="158">
        <f>G11*(1+L11/100)</f>
        <v>0</v>
      </c>
      <c r="N11" s="148"/>
      <c r="O11" s="148"/>
      <c r="P11" s="148"/>
      <c r="Q11" s="148"/>
      <c r="R11" s="148"/>
      <c r="S11" s="148"/>
      <c r="T11" s="149">
        <v>0</v>
      </c>
      <c r="U11" s="148">
        <f>ROUND(E11*T11,2)</f>
        <v>0</v>
      </c>
      <c r="V11" s="140"/>
      <c r="W11" s="140"/>
      <c r="X11" s="140"/>
      <c r="Y11" s="140"/>
      <c r="Z11" s="140"/>
      <c r="AA11" s="140"/>
      <c r="AB11" s="140"/>
      <c r="AC11" s="140"/>
      <c r="AD11" s="140"/>
      <c r="AE11" s="140" t="s">
        <v>128</v>
      </c>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x14ac:dyDescent="0.25">
      <c r="A12" s="141">
        <v>4</v>
      </c>
      <c r="B12" s="203" t="s">
        <v>571</v>
      </c>
      <c r="C12" s="178" t="s">
        <v>580</v>
      </c>
      <c r="D12" s="147" t="s">
        <v>574</v>
      </c>
      <c r="E12" s="158">
        <v>1</v>
      </c>
      <c r="F12" s="157"/>
      <c r="G12" s="158">
        <f t="shared" ref="G12:G22" si="0">ROUND(E12*F12,2)</f>
        <v>0</v>
      </c>
      <c r="H12" s="158"/>
      <c r="I12" s="158"/>
      <c r="J12" s="158"/>
      <c r="K12" s="158"/>
      <c r="L12" s="158"/>
      <c r="M12" s="158"/>
      <c r="N12" s="148"/>
      <c r="O12" s="148"/>
      <c r="P12" s="148"/>
      <c r="Q12" s="148"/>
      <c r="R12" s="148"/>
      <c r="S12" s="148"/>
      <c r="T12" s="149"/>
      <c r="U12" s="148"/>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x14ac:dyDescent="0.25">
      <c r="A13" s="141">
        <v>5</v>
      </c>
      <c r="B13" s="203" t="s">
        <v>597</v>
      </c>
      <c r="C13" s="178" t="s">
        <v>582</v>
      </c>
      <c r="D13" s="147" t="s">
        <v>574</v>
      </c>
      <c r="E13" s="158">
        <v>1</v>
      </c>
      <c r="F13" s="157"/>
      <c r="G13" s="158">
        <f t="shared" si="0"/>
        <v>0</v>
      </c>
      <c r="H13" s="158"/>
      <c r="I13" s="158"/>
      <c r="J13" s="158"/>
      <c r="K13" s="158"/>
      <c r="L13" s="158"/>
      <c r="M13" s="158"/>
      <c r="N13" s="148"/>
      <c r="O13" s="148"/>
      <c r="P13" s="148"/>
      <c r="Q13" s="148"/>
      <c r="R13" s="148"/>
      <c r="S13" s="148"/>
      <c r="T13" s="149"/>
      <c r="U13" s="148"/>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x14ac:dyDescent="0.25">
      <c r="A14" s="141">
        <v>6</v>
      </c>
      <c r="B14" s="203" t="s">
        <v>598</v>
      </c>
      <c r="C14" s="178" t="s">
        <v>590</v>
      </c>
      <c r="D14" s="147" t="s">
        <v>574</v>
      </c>
      <c r="E14" s="158">
        <v>1</v>
      </c>
      <c r="F14" s="157"/>
      <c r="G14" s="158">
        <f t="shared" si="0"/>
        <v>0</v>
      </c>
      <c r="H14" s="158"/>
      <c r="I14" s="158"/>
      <c r="J14" s="158"/>
      <c r="K14" s="158"/>
      <c r="L14" s="158"/>
      <c r="M14" s="158"/>
      <c r="N14" s="148"/>
      <c r="O14" s="148"/>
      <c r="P14" s="148"/>
      <c r="Q14" s="148"/>
      <c r="R14" s="148"/>
      <c r="S14" s="148"/>
      <c r="T14" s="149"/>
      <c r="U14" s="148"/>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x14ac:dyDescent="0.25">
      <c r="A15" s="141">
        <v>7</v>
      </c>
      <c r="B15" s="203" t="s">
        <v>599</v>
      </c>
      <c r="C15" s="178" t="s">
        <v>591</v>
      </c>
      <c r="D15" s="147" t="s">
        <v>574</v>
      </c>
      <c r="E15" s="158">
        <v>1</v>
      </c>
      <c r="F15" s="157"/>
      <c r="G15" s="158">
        <f t="shared" si="0"/>
        <v>0</v>
      </c>
      <c r="H15" s="158"/>
      <c r="I15" s="158"/>
      <c r="J15" s="158"/>
      <c r="K15" s="158"/>
      <c r="L15" s="158"/>
      <c r="M15" s="158"/>
      <c r="N15" s="148"/>
      <c r="O15" s="148"/>
      <c r="P15" s="148"/>
      <c r="Q15" s="148"/>
      <c r="R15" s="148"/>
      <c r="S15" s="148"/>
      <c r="T15" s="149"/>
      <c r="U15" s="148"/>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x14ac:dyDescent="0.25">
      <c r="A16" s="141">
        <v>8</v>
      </c>
      <c r="B16" s="203" t="s">
        <v>600</v>
      </c>
      <c r="C16" s="178" t="s">
        <v>595</v>
      </c>
      <c r="D16" s="147" t="s">
        <v>574</v>
      </c>
      <c r="E16" s="158">
        <v>1</v>
      </c>
      <c r="F16" s="157"/>
      <c r="G16" s="158">
        <f t="shared" si="0"/>
        <v>0</v>
      </c>
      <c r="H16" s="158"/>
      <c r="I16" s="158"/>
      <c r="J16" s="158"/>
      <c r="K16" s="158"/>
      <c r="L16" s="158"/>
      <c r="M16" s="158"/>
      <c r="N16" s="148"/>
      <c r="O16" s="148"/>
      <c r="P16" s="148"/>
      <c r="Q16" s="148"/>
      <c r="R16" s="148"/>
      <c r="S16" s="148"/>
      <c r="T16" s="149"/>
      <c r="U16" s="148"/>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x14ac:dyDescent="0.25">
      <c r="A17" s="141">
        <v>9</v>
      </c>
      <c r="B17" s="203" t="s">
        <v>601</v>
      </c>
      <c r="C17" s="178" t="s">
        <v>592</v>
      </c>
      <c r="D17" s="147" t="s">
        <v>574</v>
      </c>
      <c r="E17" s="158">
        <v>1</v>
      </c>
      <c r="F17" s="157"/>
      <c r="G17" s="158">
        <f t="shared" si="0"/>
        <v>0</v>
      </c>
      <c r="H17" s="158"/>
      <c r="I17" s="158"/>
      <c r="J17" s="158"/>
      <c r="K17" s="158"/>
      <c r="L17" s="158"/>
      <c r="M17" s="158"/>
      <c r="N17" s="148"/>
      <c r="O17" s="148"/>
      <c r="P17" s="148"/>
      <c r="Q17" s="148"/>
      <c r="R17" s="148"/>
      <c r="S17" s="148"/>
      <c r="T17" s="149"/>
      <c r="U17" s="148"/>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x14ac:dyDescent="0.25">
      <c r="A18" s="141">
        <v>10</v>
      </c>
      <c r="B18" s="203" t="s">
        <v>602</v>
      </c>
      <c r="C18" s="178" t="s">
        <v>593</v>
      </c>
      <c r="D18" s="147" t="s">
        <v>574</v>
      </c>
      <c r="E18" s="158">
        <v>1</v>
      </c>
      <c r="F18" s="157"/>
      <c r="G18" s="158">
        <f t="shared" si="0"/>
        <v>0</v>
      </c>
      <c r="H18" s="158"/>
      <c r="I18" s="158"/>
      <c r="J18" s="158"/>
      <c r="K18" s="158"/>
      <c r="L18" s="158"/>
      <c r="M18" s="158"/>
      <c r="N18" s="148"/>
      <c r="O18" s="148"/>
      <c r="P18" s="148"/>
      <c r="Q18" s="148"/>
      <c r="R18" s="148"/>
      <c r="S18" s="148"/>
      <c r="T18" s="149"/>
      <c r="U18" s="148"/>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x14ac:dyDescent="0.25">
      <c r="A19" s="141">
        <v>11</v>
      </c>
      <c r="B19" s="203" t="s">
        <v>603</v>
      </c>
      <c r="C19" s="178" t="s">
        <v>596</v>
      </c>
      <c r="D19" s="147" t="s">
        <v>574</v>
      </c>
      <c r="E19" s="158">
        <v>1</v>
      </c>
      <c r="F19" s="157"/>
      <c r="G19" s="158">
        <f t="shared" si="0"/>
        <v>0</v>
      </c>
      <c r="H19" s="158"/>
      <c r="I19" s="158"/>
      <c r="J19" s="158"/>
      <c r="K19" s="158"/>
      <c r="L19" s="158"/>
      <c r="M19" s="158"/>
      <c r="N19" s="148"/>
      <c r="O19" s="148"/>
      <c r="P19" s="148"/>
      <c r="Q19" s="148"/>
      <c r="R19" s="148"/>
      <c r="S19" s="148"/>
      <c r="T19" s="149"/>
      <c r="U19" s="148"/>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30" outlineLevel="1" x14ac:dyDescent="0.25">
      <c r="A20" s="141">
        <v>12</v>
      </c>
      <c r="B20" s="203" t="s">
        <v>604</v>
      </c>
      <c r="C20" s="178" t="s">
        <v>589</v>
      </c>
      <c r="D20" s="147" t="s">
        <v>574</v>
      </c>
      <c r="E20" s="158">
        <v>1</v>
      </c>
      <c r="F20" s="157"/>
      <c r="G20" s="158">
        <f t="shared" si="0"/>
        <v>0</v>
      </c>
      <c r="H20" s="158"/>
      <c r="I20" s="158"/>
      <c r="J20" s="158"/>
      <c r="K20" s="158"/>
      <c r="L20" s="158"/>
      <c r="M20" s="158"/>
      <c r="N20" s="148"/>
      <c r="O20" s="148"/>
      <c r="P20" s="148"/>
      <c r="Q20" s="148"/>
      <c r="R20" s="148"/>
      <c r="S20" s="148"/>
      <c r="T20" s="149"/>
      <c r="U20" s="148"/>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0" outlineLevel="1" x14ac:dyDescent="0.25">
      <c r="A21" s="141">
        <v>13</v>
      </c>
      <c r="B21" s="203" t="s">
        <v>605</v>
      </c>
      <c r="C21" s="178" t="s">
        <v>588</v>
      </c>
      <c r="D21" s="147" t="s">
        <v>574</v>
      </c>
      <c r="E21" s="158">
        <v>1</v>
      </c>
      <c r="F21" s="157"/>
      <c r="G21" s="158">
        <f t="shared" si="0"/>
        <v>0</v>
      </c>
      <c r="H21" s="158"/>
      <c r="I21" s="158"/>
      <c r="J21" s="158"/>
      <c r="K21" s="158"/>
      <c r="L21" s="158"/>
      <c r="M21" s="158"/>
      <c r="N21" s="148"/>
      <c r="O21" s="148"/>
      <c r="P21" s="148"/>
      <c r="Q21" s="148"/>
      <c r="R21" s="148"/>
      <c r="S21" s="148"/>
      <c r="T21" s="149"/>
      <c r="U21" s="148"/>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40" outlineLevel="1" x14ac:dyDescent="0.25">
      <c r="A22" s="141">
        <v>14</v>
      </c>
      <c r="B22" s="203" t="s">
        <v>606</v>
      </c>
      <c r="C22" s="178" t="s">
        <v>587</v>
      </c>
      <c r="D22" s="147" t="s">
        <v>574</v>
      </c>
      <c r="E22" s="158">
        <v>1</v>
      </c>
      <c r="F22" s="157"/>
      <c r="G22" s="158">
        <f t="shared" si="0"/>
        <v>0</v>
      </c>
      <c r="H22" s="158"/>
      <c r="I22" s="158"/>
      <c r="J22" s="158"/>
      <c r="K22" s="158"/>
      <c r="L22" s="158"/>
      <c r="M22" s="158"/>
      <c r="N22" s="148"/>
      <c r="O22" s="148"/>
      <c r="P22" s="148"/>
      <c r="Q22" s="148"/>
      <c r="R22" s="148"/>
      <c r="S22" s="148"/>
      <c r="T22" s="149"/>
      <c r="U22" s="148"/>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x14ac:dyDescent="0.25">
      <c r="A23" s="141">
        <v>15</v>
      </c>
      <c r="B23" s="203" t="s">
        <v>607</v>
      </c>
      <c r="C23" s="178" t="s">
        <v>586</v>
      </c>
      <c r="D23" s="147" t="s">
        <v>574</v>
      </c>
      <c r="E23" s="158">
        <v>1</v>
      </c>
      <c r="F23" s="157"/>
      <c r="G23" s="158">
        <f t="shared" ref="G23:G33" si="1">ROUND(E23*F23,2)</f>
        <v>0</v>
      </c>
      <c r="H23" s="158"/>
      <c r="I23" s="158"/>
      <c r="J23" s="158"/>
      <c r="K23" s="158"/>
      <c r="L23" s="158"/>
      <c r="M23" s="158"/>
      <c r="N23" s="148"/>
      <c r="O23" s="148"/>
      <c r="P23" s="148"/>
      <c r="Q23" s="148"/>
      <c r="R23" s="148"/>
      <c r="S23" s="148"/>
      <c r="T23" s="149"/>
      <c r="U23" s="148"/>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ht="30" outlineLevel="1" x14ac:dyDescent="0.25">
      <c r="A24" s="141">
        <v>16</v>
      </c>
      <c r="B24" s="203" t="s">
        <v>608</v>
      </c>
      <c r="C24" s="178" t="s">
        <v>585</v>
      </c>
      <c r="D24" s="147" t="s">
        <v>574</v>
      </c>
      <c r="E24" s="158">
        <v>1</v>
      </c>
      <c r="F24" s="157"/>
      <c r="G24" s="158">
        <f t="shared" si="1"/>
        <v>0</v>
      </c>
      <c r="H24" s="158"/>
      <c r="I24" s="158"/>
      <c r="J24" s="158"/>
      <c r="K24" s="158"/>
      <c r="L24" s="158"/>
      <c r="M24" s="158"/>
      <c r="N24" s="148"/>
      <c r="O24" s="148"/>
      <c r="P24" s="148"/>
      <c r="Q24" s="148"/>
      <c r="R24" s="148"/>
      <c r="S24" s="148"/>
      <c r="T24" s="149"/>
      <c r="U24" s="148"/>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x14ac:dyDescent="0.25">
      <c r="A25" s="141">
        <v>17</v>
      </c>
      <c r="B25" s="203" t="s">
        <v>609</v>
      </c>
      <c r="C25" s="178" t="s">
        <v>584</v>
      </c>
      <c r="D25" s="147" t="s">
        <v>574</v>
      </c>
      <c r="E25" s="158">
        <v>1</v>
      </c>
      <c r="F25" s="157"/>
      <c r="G25" s="158">
        <f t="shared" si="1"/>
        <v>0</v>
      </c>
      <c r="H25" s="158"/>
      <c r="I25" s="158"/>
      <c r="J25" s="158"/>
      <c r="K25" s="158"/>
      <c r="L25" s="158"/>
      <c r="M25" s="158"/>
      <c r="N25" s="148"/>
      <c r="O25" s="148"/>
      <c r="P25" s="148"/>
      <c r="Q25" s="148"/>
      <c r="R25" s="148"/>
      <c r="S25" s="148"/>
      <c r="T25" s="149"/>
      <c r="U25" s="148"/>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70" outlineLevel="1" x14ac:dyDescent="0.25">
      <c r="A26" s="141">
        <v>18</v>
      </c>
      <c r="B26" s="203" t="s">
        <v>610</v>
      </c>
      <c r="C26" s="178" t="s">
        <v>583</v>
      </c>
      <c r="D26" s="147" t="s">
        <v>574</v>
      </c>
      <c r="E26" s="158">
        <v>1</v>
      </c>
      <c r="F26" s="157"/>
      <c r="G26" s="158">
        <f t="shared" si="1"/>
        <v>0</v>
      </c>
      <c r="H26" s="158"/>
      <c r="I26" s="158"/>
      <c r="J26" s="158"/>
      <c r="K26" s="158"/>
      <c r="L26" s="158"/>
      <c r="M26" s="158"/>
      <c r="N26" s="148"/>
      <c r="O26" s="148"/>
      <c r="P26" s="148"/>
      <c r="Q26" s="148"/>
      <c r="R26" s="148"/>
      <c r="S26" s="148"/>
      <c r="T26" s="149"/>
      <c r="U26" s="148"/>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x14ac:dyDescent="0.25">
      <c r="A27" s="141">
        <v>19</v>
      </c>
      <c r="B27" s="203" t="s">
        <v>611</v>
      </c>
      <c r="C27" s="178" t="s">
        <v>573</v>
      </c>
      <c r="D27" s="147" t="s">
        <v>574</v>
      </c>
      <c r="E27" s="158">
        <v>1</v>
      </c>
      <c r="F27" s="157"/>
      <c r="G27" s="158">
        <f t="shared" si="1"/>
        <v>0</v>
      </c>
      <c r="H27" s="158"/>
      <c r="I27" s="158"/>
      <c r="J27" s="158"/>
      <c r="K27" s="158"/>
      <c r="L27" s="158"/>
      <c r="M27" s="158"/>
      <c r="N27" s="148"/>
      <c r="O27" s="148"/>
      <c r="P27" s="148"/>
      <c r="Q27" s="148"/>
      <c r="R27" s="148"/>
      <c r="S27" s="148"/>
      <c r="T27" s="149"/>
      <c r="U27" s="148"/>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x14ac:dyDescent="0.25">
      <c r="A28" s="141">
        <v>20</v>
      </c>
      <c r="B28" s="203" t="s">
        <v>612</v>
      </c>
      <c r="C28" s="178" t="s">
        <v>575</v>
      </c>
      <c r="D28" s="147" t="s">
        <v>574</v>
      </c>
      <c r="E28" s="158">
        <v>1</v>
      </c>
      <c r="F28" s="157"/>
      <c r="G28" s="158">
        <f t="shared" si="1"/>
        <v>0</v>
      </c>
      <c r="H28" s="158"/>
      <c r="I28" s="158"/>
      <c r="J28" s="158"/>
      <c r="K28" s="158"/>
      <c r="L28" s="158"/>
      <c r="M28" s="158"/>
      <c r="N28" s="148"/>
      <c r="O28" s="148"/>
      <c r="P28" s="148"/>
      <c r="Q28" s="148"/>
      <c r="R28" s="148"/>
      <c r="S28" s="148"/>
      <c r="T28" s="149"/>
      <c r="U28" s="148"/>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x14ac:dyDescent="0.25">
      <c r="A29" s="141">
        <v>21</v>
      </c>
      <c r="B29" s="203" t="s">
        <v>613</v>
      </c>
      <c r="C29" s="178" t="s">
        <v>576</v>
      </c>
      <c r="D29" s="147" t="s">
        <v>574</v>
      </c>
      <c r="E29" s="158">
        <v>1</v>
      </c>
      <c r="F29" s="157"/>
      <c r="G29" s="158">
        <f t="shared" si="1"/>
        <v>0</v>
      </c>
      <c r="H29" s="158"/>
      <c r="I29" s="158"/>
      <c r="J29" s="158"/>
      <c r="K29" s="158"/>
      <c r="L29" s="158"/>
      <c r="M29" s="158"/>
      <c r="N29" s="148"/>
      <c r="O29" s="148"/>
      <c r="P29" s="148"/>
      <c r="Q29" s="148"/>
      <c r="R29" s="148"/>
      <c r="S29" s="148"/>
      <c r="T29" s="149"/>
      <c r="U29" s="148"/>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0" outlineLevel="1" x14ac:dyDescent="0.25">
      <c r="A30" s="141">
        <v>22</v>
      </c>
      <c r="B30" s="203" t="s">
        <v>614</v>
      </c>
      <c r="C30" s="178" t="s">
        <v>577</v>
      </c>
      <c r="D30" s="147" t="s">
        <v>574</v>
      </c>
      <c r="E30" s="158">
        <v>1</v>
      </c>
      <c r="F30" s="157"/>
      <c r="G30" s="158">
        <f t="shared" si="1"/>
        <v>0</v>
      </c>
      <c r="H30" s="158"/>
      <c r="I30" s="158"/>
      <c r="J30" s="158"/>
      <c r="K30" s="158"/>
      <c r="L30" s="158"/>
      <c r="M30" s="158"/>
      <c r="N30" s="148"/>
      <c r="O30" s="148"/>
      <c r="P30" s="148"/>
      <c r="Q30" s="148"/>
      <c r="R30" s="148"/>
      <c r="S30" s="148"/>
      <c r="T30" s="149"/>
      <c r="U30" s="148"/>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x14ac:dyDescent="0.25">
      <c r="A31" s="141">
        <v>23</v>
      </c>
      <c r="B31" s="203" t="s">
        <v>615</v>
      </c>
      <c r="C31" s="178" t="s">
        <v>578</v>
      </c>
      <c r="D31" s="147" t="s">
        <v>574</v>
      </c>
      <c r="E31" s="158">
        <v>1</v>
      </c>
      <c r="F31" s="157"/>
      <c r="G31" s="158">
        <f t="shared" si="1"/>
        <v>0</v>
      </c>
      <c r="H31" s="158"/>
      <c r="I31" s="158"/>
      <c r="J31" s="158"/>
      <c r="K31" s="158"/>
      <c r="L31" s="158"/>
      <c r="M31" s="158"/>
      <c r="N31" s="148"/>
      <c r="O31" s="148"/>
      <c r="P31" s="148"/>
      <c r="Q31" s="148"/>
      <c r="R31" s="148"/>
      <c r="S31" s="148"/>
      <c r="T31" s="149"/>
      <c r="U31" s="148"/>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40" outlineLevel="1" x14ac:dyDescent="0.25">
      <c r="A32" s="141">
        <v>24</v>
      </c>
      <c r="B32" s="203" t="s">
        <v>616</v>
      </c>
      <c r="C32" s="178" t="s">
        <v>579</v>
      </c>
      <c r="D32" s="147" t="s">
        <v>574</v>
      </c>
      <c r="E32" s="158">
        <v>1</v>
      </c>
      <c r="F32" s="157"/>
      <c r="G32" s="158">
        <f t="shared" si="1"/>
        <v>0</v>
      </c>
      <c r="H32" s="158"/>
      <c r="I32" s="158"/>
      <c r="J32" s="158"/>
      <c r="K32" s="158"/>
      <c r="L32" s="158"/>
      <c r="M32" s="158"/>
      <c r="N32" s="148"/>
      <c r="O32" s="148"/>
      <c r="P32" s="148"/>
      <c r="Q32" s="148"/>
      <c r="R32" s="148"/>
      <c r="S32" s="148"/>
      <c r="T32" s="149"/>
      <c r="U32" s="148"/>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ht="20" outlineLevel="1" x14ac:dyDescent="0.25">
      <c r="A33" s="168">
        <v>25</v>
      </c>
      <c r="B33" s="204" t="s">
        <v>617</v>
      </c>
      <c r="C33" s="186" t="s">
        <v>1227</v>
      </c>
      <c r="D33" s="187" t="s">
        <v>574</v>
      </c>
      <c r="E33" s="171">
        <v>1</v>
      </c>
      <c r="F33" s="188"/>
      <c r="G33" s="171">
        <f t="shared" si="1"/>
        <v>0</v>
      </c>
      <c r="H33" s="171"/>
      <c r="I33" s="171"/>
      <c r="J33" s="171"/>
      <c r="K33" s="171"/>
      <c r="L33" s="171"/>
      <c r="M33" s="171"/>
      <c r="N33" s="172"/>
      <c r="O33" s="172"/>
      <c r="P33" s="172"/>
      <c r="Q33" s="172"/>
      <c r="R33" s="148"/>
      <c r="S33" s="148"/>
      <c r="T33" s="149"/>
      <c r="U33" s="148"/>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x14ac:dyDescent="0.25">
      <c r="A34" s="4"/>
      <c r="B34" s="205" t="s">
        <v>532</v>
      </c>
      <c r="C34" s="182" t="s">
        <v>532</v>
      </c>
      <c r="D34" s="4"/>
      <c r="E34" s="4"/>
      <c r="F34" s="4"/>
      <c r="G34" s="4"/>
      <c r="H34" s="4"/>
      <c r="I34" s="4"/>
      <c r="J34" s="4"/>
      <c r="K34" s="4"/>
      <c r="L34" s="4"/>
      <c r="M34" s="4"/>
      <c r="N34" s="4"/>
      <c r="O34" s="4"/>
      <c r="P34" s="4"/>
      <c r="Q34" s="4"/>
      <c r="R34" s="4"/>
      <c r="S34" s="4"/>
      <c r="T34" s="4"/>
      <c r="U34" s="4"/>
      <c r="AC34">
        <v>12</v>
      </c>
      <c r="AD34">
        <v>21</v>
      </c>
    </row>
    <row r="35" spans="1:60" ht="13" x14ac:dyDescent="0.25">
      <c r="A35" s="195"/>
      <c r="B35" s="206" t="s">
        <v>28</v>
      </c>
      <c r="C35" s="196" t="s">
        <v>532</v>
      </c>
      <c r="D35" s="197"/>
      <c r="E35" s="197"/>
      <c r="F35" s="197"/>
      <c r="G35" s="198">
        <f>G8</f>
        <v>0</v>
      </c>
      <c r="H35" s="4"/>
      <c r="I35" s="4"/>
      <c r="J35" s="4"/>
      <c r="K35" s="4"/>
      <c r="L35" s="4"/>
      <c r="M35" s="4"/>
      <c r="N35" s="4"/>
      <c r="O35" s="4"/>
      <c r="P35" s="4"/>
      <c r="Q35" s="4"/>
      <c r="R35" s="4"/>
      <c r="S35" s="4"/>
      <c r="T35" s="4"/>
      <c r="U35" s="4"/>
      <c r="AC35">
        <f>SUMIF(L7:L33,AC34,G7:G33)</f>
        <v>0</v>
      </c>
      <c r="AD35">
        <f>SUMIF(L7:L33,AD34,G7:G33)</f>
        <v>0</v>
      </c>
      <c r="AE35" t="s">
        <v>533</v>
      </c>
    </row>
    <row r="36" spans="1:60" x14ac:dyDescent="0.25">
      <c r="A36" s="4"/>
      <c r="B36" s="205" t="s">
        <v>532</v>
      </c>
      <c r="C36" s="182" t="s">
        <v>532</v>
      </c>
      <c r="D36" s="4"/>
      <c r="E36" s="4"/>
      <c r="F36" s="4"/>
      <c r="G36" s="4"/>
      <c r="H36" s="4"/>
      <c r="I36" s="4"/>
      <c r="J36" s="4"/>
      <c r="K36" s="4"/>
      <c r="L36" s="4"/>
      <c r="M36" s="4"/>
      <c r="N36" s="4"/>
      <c r="O36" s="4"/>
      <c r="P36" s="4"/>
      <c r="Q36" s="4"/>
      <c r="R36" s="4"/>
      <c r="S36" s="4"/>
      <c r="T36" s="4"/>
      <c r="U36" s="4"/>
    </row>
    <row r="37" spans="1:60" x14ac:dyDescent="0.25">
      <c r="A37" s="4"/>
      <c r="B37" s="205" t="s">
        <v>532</v>
      </c>
      <c r="C37" s="182" t="s">
        <v>532</v>
      </c>
      <c r="D37" s="4"/>
      <c r="E37" s="4"/>
      <c r="F37" s="4"/>
      <c r="G37" s="4"/>
      <c r="H37" s="4"/>
      <c r="I37" s="4"/>
      <c r="J37" s="4"/>
      <c r="K37" s="4"/>
      <c r="L37" s="4"/>
      <c r="M37" s="4"/>
      <c r="N37" s="4"/>
      <c r="O37" s="4"/>
      <c r="P37" s="4"/>
      <c r="Q37" s="4"/>
      <c r="R37" s="4"/>
      <c r="S37" s="4"/>
      <c r="T37" s="4"/>
      <c r="U37" s="4"/>
    </row>
    <row r="38" spans="1:60" x14ac:dyDescent="0.25">
      <c r="A38" s="474" t="s">
        <v>534</v>
      </c>
      <c r="B38" s="474"/>
      <c r="C38" s="475"/>
      <c r="D38" s="4"/>
      <c r="E38" s="4"/>
      <c r="F38" s="4"/>
      <c r="G38" s="4"/>
      <c r="H38" s="4"/>
      <c r="I38" s="4"/>
      <c r="J38" s="4"/>
      <c r="K38" s="4"/>
      <c r="L38" s="4"/>
      <c r="M38" s="4"/>
      <c r="N38" s="4"/>
      <c r="O38" s="4"/>
      <c r="P38" s="4"/>
      <c r="Q38" s="4"/>
      <c r="R38" s="4"/>
      <c r="S38" s="4"/>
      <c r="T38" s="4"/>
      <c r="U38" s="4"/>
    </row>
    <row r="39" spans="1:60" x14ac:dyDescent="0.25">
      <c r="A39" s="453"/>
      <c r="B39" s="454"/>
      <c r="C39" s="455"/>
      <c r="D39" s="454"/>
      <c r="E39" s="454"/>
      <c r="F39" s="454"/>
      <c r="G39" s="456"/>
      <c r="H39" s="4"/>
      <c r="I39" s="4"/>
      <c r="J39" s="4"/>
      <c r="K39" s="4"/>
      <c r="L39" s="4"/>
      <c r="M39" s="4"/>
      <c r="N39" s="4"/>
      <c r="O39" s="4"/>
      <c r="P39" s="4"/>
      <c r="Q39" s="4"/>
      <c r="R39" s="4"/>
      <c r="S39" s="4"/>
      <c r="T39" s="4"/>
      <c r="U39" s="4"/>
      <c r="AE39" t="s">
        <v>535</v>
      </c>
    </row>
    <row r="40" spans="1:60" x14ac:dyDescent="0.25">
      <c r="A40" s="457"/>
      <c r="B40" s="458"/>
      <c r="C40" s="459"/>
      <c r="D40" s="458"/>
      <c r="E40" s="458"/>
      <c r="F40" s="458"/>
      <c r="G40" s="460"/>
      <c r="H40" s="4"/>
      <c r="I40" s="4"/>
      <c r="J40" s="4"/>
      <c r="K40" s="4"/>
      <c r="L40" s="4"/>
      <c r="M40" s="4"/>
      <c r="N40" s="4"/>
      <c r="O40" s="4"/>
      <c r="P40" s="4"/>
      <c r="Q40" s="4"/>
      <c r="R40" s="4"/>
      <c r="S40" s="4"/>
      <c r="T40" s="4"/>
      <c r="U40" s="4"/>
    </row>
    <row r="41" spans="1:60" x14ac:dyDescent="0.25">
      <c r="A41" s="457"/>
      <c r="B41" s="458"/>
      <c r="C41" s="459"/>
      <c r="D41" s="458"/>
      <c r="E41" s="458"/>
      <c r="F41" s="458"/>
      <c r="G41" s="460"/>
      <c r="H41" s="4"/>
      <c r="I41" s="4"/>
      <c r="J41" s="4"/>
      <c r="K41" s="4"/>
      <c r="L41" s="4"/>
      <c r="M41" s="4"/>
      <c r="N41" s="4"/>
      <c r="O41" s="4"/>
      <c r="P41" s="4"/>
      <c r="Q41" s="4"/>
      <c r="R41" s="4"/>
      <c r="S41" s="4"/>
      <c r="T41" s="4"/>
      <c r="U41" s="4"/>
    </row>
    <row r="42" spans="1:60" x14ac:dyDescent="0.25">
      <c r="A42" s="457"/>
      <c r="B42" s="458"/>
      <c r="C42" s="459"/>
      <c r="D42" s="458"/>
      <c r="E42" s="458"/>
      <c r="F42" s="458"/>
      <c r="G42" s="460"/>
      <c r="H42" s="4"/>
      <c r="I42" s="4"/>
      <c r="J42" s="4"/>
      <c r="K42" s="4"/>
      <c r="L42" s="4"/>
      <c r="M42" s="4"/>
      <c r="N42" s="4"/>
      <c r="O42" s="4"/>
      <c r="P42" s="4"/>
      <c r="Q42" s="4"/>
      <c r="R42" s="4"/>
      <c r="S42" s="4"/>
      <c r="T42" s="4"/>
      <c r="U42" s="4"/>
    </row>
    <row r="43" spans="1:60" x14ac:dyDescent="0.25">
      <c r="A43" s="461"/>
      <c r="B43" s="462"/>
      <c r="C43" s="463"/>
      <c r="D43" s="462"/>
      <c r="E43" s="462"/>
      <c r="F43" s="462"/>
      <c r="G43" s="464"/>
      <c r="H43" s="4"/>
      <c r="I43" s="4"/>
      <c r="J43" s="4"/>
      <c r="K43" s="4"/>
      <c r="L43" s="4"/>
      <c r="M43" s="4"/>
      <c r="N43" s="4"/>
      <c r="O43" s="4"/>
      <c r="P43" s="4"/>
      <c r="Q43" s="4"/>
      <c r="R43" s="4"/>
      <c r="S43" s="4"/>
      <c r="T43" s="4"/>
      <c r="U43" s="4"/>
    </row>
    <row r="44" spans="1:60" x14ac:dyDescent="0.25">
      <c r="A44" s="4"/>
      <c r="B44" s="205"/>
      <c r="C44" s="182"/>
      <c r="D44" s="4"/>
      <c r="E44" s="4"/>
      <c r="F44" s="4"/>
      <c r="G44" s="4"/>
      <c r="H44" s="4"/>
      <c r="I44" s="4"/>
      <c r="J44" s="4"/>
      <c r="K44" s="4"/>
      <c r="L44" s="4"/>
      <c r="M44" s="4"/>
      <c r="N44" s="4"/>
      <c r="O44" s="4"/>
      <c r="P44" s="4"/>
      <c r="Q44" s="4"/>
      <c r="R44" s="4"/>
      <c r="S44" s="4"/>
      <c r="T44" s="4"/>
      <c r="U44" s="4"/>
    </row>
  </sheetData>
  <sheetProtection algorithmName="SHA-512" hashValue="3A3Ij9jxsCZgaAMM205HCi6zCSKcpQXskJy6UyyUrnCsc2RcFBhHyQGy74BzIzkczBsQE336XZ2lwSvIt8qxmw==" saltValue="nBcMCbFs5W7laX8EY5CNzQ==" spinCount="100000" sheet="1" objects="1" scenarios="1"/>
  <protectedRanges>
    <protectedRange sqref="F9:F33" name="VRN"/>
  </protectedRanges>
  <mergeCells count="6">
    <mergeCell ref="A39:G43"/>
    <mergeCell ref="A1:G1"/>
    <mergeCell ref="C2:G2"/>
    <mergeCell ref="C3:G3"/>
    <mergeCell ref="C4:G4"/>
    <mergeCell ref="A38:C38"/>
  </mergeCells>
  <phoneticPr fontId="18" type="noConversion"/>
  <pageMargins left="0.39370078740157499" right="0.19685039370078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78</vt:i4>
      </vt:variant>
    </vt:vector>
  </HeadingPairs>
  <TitlesOfParts>
    <vt:vector size="89" baseType="lpstr">
      <vt:lpstr>Krycí list</vt:lpstr>
      <vt:lpstr>Rekapitulace IN</vt:lpstr>
      <vt:lpstr>KL D.1.1. ASŘ</vt:lpstr>
      <vt:lpstr>VzorPolozky</vt:lpstr>
      <vt:lpstr>D.1.1. ASŘ</vt:lpstr>
      <vt:lpstr>KL D.1.4.1 ZTI</vt:lpstr>
      <vt:lpstr>D.1.4.1 ZTI</vt:lpstr>
      <vt:lpstr>KL D.1.4.2 ELE+SLP</vt:lpstr>
      <vt:lpstr>D.1.4.2 ELE+SLP Parametry</vt:lpstr>
      <vt:lpstr>D.1.4.2 ELE+SLP</vt:lpstr>
      <vt:lpstr>VRN</vt:lpstr>
      <vt:lpstr>'KL D.1.1. ASŘ'!CelkemDPHVypocet</vt:lpstr>
      <vt:lpstr>'Krycí list'!CelkemDPHVypocet</vt:lpstr>
      <vt:lpstr>'Krycí list'!CenaCelkem</vt:lpstr>
      <vt:lpstr>CenaCelkem</vt:lpstr>
      <vt:lpstr>'Krycí list'!CenaCelkemBezDPH</vt:lpstr>
      <vt:lpstr>CenaCelkemBezDPH</vt:lpstr>
      <vt:lpstr>'KL D.1.1. ASŘ'!CenaCelkemVypocet</vt:lpstr>
      <vt:lpstr>'Krycí list'!CenaCelkemVypocet</vt:lpstr>
      <vt:lpstr>cisloobjektu</vt:lpstr>
      <vt:lpstr>'KL D.1.1. ASŘ'!CisloStavby</vt:lpstr>
      <vt:lpstr>'Krycí list'!CisloStavby</vt:lpstr>
      <vt:lpstr>'Krycí list'!CisloStavebnihoRozpoctu</vt:lpstr>
      <vt:lpstr>CisloStavebnihoRozpoctu</vt:lpstr>
      <vt:lpstr>'Krycí list'!dadresa</vt:lpstr>
      <vt:lpstr>'Krycí list'!DIČ</vt:lpstr>
      <vt:lpstr>'Krycí list'!dmisto</vt:lpstr>
      <vt:lpstr>'Krycí list'!DPHSni</vt:lpstr>
      <vt:lpstr>DPHSni</vt:lpstr>
      <vt:lpstr>'Krycí list'!DPHZakl</vt:lpstr>
      <vt:lpstr>DPHZakl</vt:lpstr>
      <vt:lpstr>'Krycí list'!dpsc</vt:lpstr>
      <vt:lpstr>'Krycí list'!IČO</vt:lpstr>
      <vt:lpstr>'Krycí list'!Mena</vt:lpstr>
      <vt:lpstr>Mena</vt:lpstr>
      <vt:lpstr>'Krycí list'!MistoStavby</vt:lpstr>
      <vt:lpstr>MistoStavby</vt:lpstr>
      <vt:lpstr>nazevobjektu</vt:lpstr>
      <vt:lpstr>'KL D.1.1. ASŘ'!NazevStavby</vt:lpstr>
      <vt:lpstr>'Krycí list'!NazevStavby</vt:lpstr>
      <vt:lpstr>'Krycí list'!NazevStavebnihoRozpoctu</vt:lpstr>
      <vt:lpstr>NazevStavebnihoRozpoctu</vt:lpstr>
      <vt:lpstr>'Rekapitulace IN'!Názvy_tisku</vt:lpstr>
      <vt:lpstr>'Krycí list'!oadresa</vt:lpstr>
      <vt:lpstr>oadresa</vt:lpstr>
      <vt:lpstr>'KL D.1.1. ASŘ'!Objednatel</vt:lpstr>
      <vt:lpstr>'Krycí list'!Objednatel</vt:lpstr>
      <vt:lpstr>'KL D.1.1. ASŘ'!Objekt</vt:lpstr>
      <vt:lpstr>'Krycí list'!Objekt</vt:lpstr>
      <vt:lpstr>'D.1.1. ASŘ'!Oblast_tisku</vt:lpstr>
      <vt:lpstr>'KL D.1.1. ASŘ'!Oblast_tisku</vt:lpstr>
      <vt:lpstr>'Krycí list'!Oblast_tisku</vt:lpstr>
      <vt:lpstr>'Rekapitulace IN'!Oblast_tisku</vt:lpstr>
      <vt:lpstr>VRN!Oblast_tisku</vt:lpstr>
      <vt:lpstr>'KL D.1.1. ASŘ'!odic</vt:lpstr>
      <vt:lpstr>'Krycí list'!odic</vt:lpstr>
      <vt:lpstr>'KL D.1.1. ASŘ'!oico</vt:lpstr>
      <vt:lpstr>'Krycí list'!oico</vt:lpstr>
      <vt:lpstr>'KL D.1.1. ASŘ'!omisto</vt:lpstr>
      <vt:lpstr>'Krycí list'!omisto</vt:lpstr>
      <vt:lpstr>'KL D.1.1. ASŘ'!onazev</vt:lpstr>
      <vt:lpstr>'Krycí list'!onazev</vt:lpstr>
      <vt:lpstr>'KL D.1.1. ASŘ'!opsc</vt:lpstr>
      <vt:lpstr>'Krycí list'!opsc</vt:lpstr>
      <vt:lpstr>padresa</vt:lpstr>
      <vt:lpstr>pdic</vt:lpstr>
      <vt:lpstr>pico</vt:lpstr>
      <vt:lpstr>pmisto</vt:lpstr>
      <vt:lpstr>'Krycí list'!PoptavkaID</vt:lpstr>
      <vt:lpstr>PoptavkaID</vt:lpstr>
      <vt:lpstr>pPSC</vt:lpstr>
      <vt:lpstr>Projektant</vt:lpstr>
      <vt:lpstr>'KL D.1.1. ASŘ'!SazbaDPH1</vt:lpstr>
      <vt:lpstr>'Krycí list'!SazbaDPH1</vt:lpstr>
      <vt:lpstr>'KL D.1.1. ASŘ'!SazbaDPH2</vt:lpstr>
      <vt:lpstr>'Krycí list'!SazbaDPH2</vt:lpstr>
      <vt:lpstr>'Krycí list'!Vypracoval</vt:lpstr>
      <vt:lpstr>Vypracoval</vt:lpstr>
      <vt:lpstr>'Krycí list'!ZakladDPHSni</vt:lpstr>
      <vt:lpstr>ZakladDPHSni</vt:lpstr>
      <vt:lpstr>'KL D.1.1. ASŘ'!ZakladDPHSniVypocet</vt:lpstr>
      <vt:lpstr>'Krycí list'!ZakladDPHSniVypocet</vt:lpstr>
      <vt:lpstr>'Krycí list'!ZakladDPHZakl</vt:lpstr>
      <vt:lpstr>ZakladDPHZakl</vt:lpstr>
      <vt:lpstr>'KL D.1.1. ASŘ'!ZakladDPHZaklVypocet</vt:lpstr>
      <vt:lpstr>'Krycí list'!ZakladDPHZaklVypocet</vt:lpstr>
      <vt:lpstr>'Krycí list'!Zaokrouhleni</vt:lpstr>
      <vt:lpstr>Zaokrouhleni</vt:lpstr>
      <vt:lpstr>'Krycí list'!Zhotovitel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Boris Hladký</cp:lastModifiedBy>
  <cp:lastPrinted>2014-02-28T09:52:57Z</cp:lastPrinted>
  <dcterms:created xsi:type="dcterms:W3CDTF">2009-04-08T07:15:50Z</dcterms:created>
  <dcterms:modified xsi:type="dcterms:W3CDTF">2024-06-07T14:58:28Z</dcterms:modified>
</cp:coreProperties>
</file>